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5_標準報酬・任継\【04】　共通\05　広報関係\広報\ホームページ修正\Ｒ６年度\R73.7 掛金率改定・任継試算表更新\"/>
    </mc:Choice>
  </mc:AlternateContent>
  <xr:revisionPtr revIDLastSave="0" documentId="13_ncr:1_{D9D5B6AA-31E2-4C5E-8FDE-95C5E105CF96}" xr6:coauthVersionLast="47" xr6:coauthVersionMax="47" xr10:uidLastSave="{00000000-0000-0000-0000-000000000000}"/>
  <workbookProtection workbookAlgorithmName="SHA-512" workbookHashValue="z80o7iuiKOn73Xu9WG9Rum6Cc14oOKNXODnF1yX0HLiBKg/4drv4kXVueIKT+SebKIy5s1WUEV4tktt7lnCgpA==" workbookSaltValue="l4emd7kuGuRrG8sxT8QGHA==" workbookSpinCount="100000" lockStructure="1"/>
  <bookViews>
    <workbookView xWindow="28680" yWindow="-120" windowWidth="29040" windowHeight="15720" tabRatio="829" xr2:uid="{00000000-000D-0000-FFFF-FFFF00000000}"/>
  </bookViews>
  <sheets>
    <sheet name="試算シート" sheetId="9" r:id="rId1"/>
    <sheet name="標準報酬月額340000円以上の方の掛金額上限" sheetId="13" r:id="rId2"/>
    <sheet name="【更新要】掛金早見表" sheetId="11" state="hidden" r:id="rId3"/>
    <sheet name="部内用" sheetId="14" state="hidden" r:id="rId4"/>
    <sheet name="【更新不要】試算基" sheetId="12" state="hidden" r:id="rId5"/>
  </sheets>
  <definedNames>
    <definedName name="_xlnm.Print_Area" localSheetId="0">試算シート!$A$1:$AE$35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2" l="1"/>
  <c r="B22" i="12"/>
  <c r="R12" i="9"/>
  <c r="B18" i="12"/>
  <c r="R13" i="9"/>
  <c r="D3" i="13" l="1"/>
  <c r="D32" i="14" l="1"/>
  <c r="B58" i="14"/>
  <c r="B59" i="14"/>
  <c r="B60" i="14"/>
  <c r="A28" i="14"/>
  <c r="A58" i="14" s="1"/>
  <c r="B28" i="14"/>
  <c r="A29" i="14"/>
  <c r="A59" i="14" s="1"/>
  <c r="B29" i="14"/>
  <c r="A30" i="14"/>
  <c r="A60" i="14" s="1"/>
  <c r="B30" i="14"/>
  <c r="C34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M4" i="14"/>
  <c r="M34" i="14" s="1"/>
  <c r="N4" i="14"/>
  <c r="N34" i="14" s="1"/>
  <c r="O4" i="14"/>
  <c r="O34" i="14" s="1"/>
  <c r="E4" i="14"/>
  <c r="E34" i="14" s="1"/>
  <c r="F4" i="14"/>
  <c r="F34" i="14" s="1"/>
  <c r="G4" i="14"/>
  <c r="G34" i="14" s="1"/>
  <c r="H4" i="14"/>
  <c r="H34" i="14" s="1"/>
  <c r="I4" i="14"/>
  <c r="I34" i="14" s="1"/>
  <c r="J4" i="14"/>
  <c r="J34" i="14" s="1"/>
  <c r="K4" i="14"/>
  <c r="K34" i="14" s="1"/>
  <c r="L4" i="14"/>
  <c r="L34" i="14" s="1"/>
  <c r="D4" i="14"/>
  <c r="D34" i="14" s="1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5" i="14"/>
  <c r="A27" i="14"/>
  <c r="A57" i="14" s="1"/>
  <c r="A26" i="14"/>
  <c r="A56" i="14" s="1"/>
  <c r="A25" i="14"/>
  <c r="A55" i="14" s="1"/>
  <c r="A24" i="14"/>
  <c r="A54" i="14" s="1"/>
  <c r="A23" i="14"/>
  <c r="A53" i="14" s="1"/>
  <c r="A22" i="14"/>
  <c r="A52" i="14" s="1"/>
  <c r="A21" i="14"/>
  <c r="A51" i="14" s="1"/>
  <c r="A20" i="14"/>
  <c r="A50" i="14" s="1"/>
  <c r="A19" i="14"/>
  <c r="A49" i="14" s="1"/>
  <c r="A18" i="14"/>
  <c r="A48" i="14" s="1"/>
  <c r="A17" i="14"/>
  <c r="A47" i="14" s="1"/>
  <c r="A16" i="14"/>
  <c r="A46" i="14" s="1"/>
  <c r="A15" i="14"/>
  <c r="A45" i="14" s="1"/>
  <c r="A14" i="14"/>
  <c r="A44" i="14" s="1"/>
  <c r="A13" i="14"/>
  <c r="A43" i="14" s="1"/>
  <c r="A12" i="14"/>
  <c r="A42" i="14" s="1"/>
  <c r="A11" i="14"/>
  <c r="A41" i="14" s="1"/>
  <c r="A10" i="14"/>
  <c r="A40" i="14" s="1"/>
  <c r="A9" i="14"/>
  <c r="A39" i="14" s="1"/>
  <c r="A8" i="14"/>
  <c r="A38" i="14" s="1"/>
  <c r="A7" i="14"/>
  <c r="A37" i="14" s="1"/>
  <c r="A6" i="14"/>
  <c r="A36" i="14" s="1"/>
  <c r="A5" i="14"/>
  <c r="A35" i="14" s="1"/>
  <c r="D4" i="11" l="1"/>
  <c r="I13" i="9" s="1"/>
  <c r="B3" i="13" s="1"/>
  <c r="B23" i="12" l="1"/>
  <c r="D42" i="11" l="1"/>
  <c r="D45" i="11"/>
  <c r="D44" i="11"/>
  <c r="D43" i="11"/>
  <c r="K43" i="11" l="1"/>
  <c r="I36" i="14" s="1"/>
  <c r="C36" i="14"/>
  <c r="Q45" i="11"/>
  <c r="O38" i="14" s="1"/>
  <c r="C38" i="14"/>
  <c r="O44" i="11"/>
  <c r="M37" i="14" s="1"/>
  <c r="C37" i="14"/>
  <c r="Q42" i="11"/>
  <c r="O35" i="14" s="1"/>
  <c r="C35" i="14"/>
  <c r="L43" i="11"/>
  <c r="J36" i="14" s="1"/>
  <c r="I45" i="11"/>
  <c r="G38" i="14" s="1"/>
  <c r="M43" i="11"/>
  <c r="K36" i="14" s="1"/>
  <c r="J45" i="11"/>
  <c r="H38" i="14" s="1"/>
  <c r="N43" i="11"/>
  <c r="L36" i="14" s="1"/>
  <c r="K45" i="11"/>
  <c r="O43" i="11"/>
  <c r="M36" i="14" s="1"/>
  <c r="L45" i="11"/>
  <c r="J38" i="14" s="1"/>
  <c r="P43" i="11"/>
  <c r="N36" i="14" s="1"/>
  <c r="M45" i="11"/>
  <c r="K38" i="14" s="1"/>
  <c r="F42" i="11"/>
  <c r="D35" i="14" s="1"/>
  <c r="Q43" i="11"/>
  <c r="N45" i="11"/>
  <c r="L38" i="14" s="1"/>
  <c r="G42" i="11"/>
  <c r="E35" i="14" s="1"/>
  <c r="F44" i="11"/>
  <c r="D37" i="14" s="1"/>
  <c r="O45" i="11"/>
  <c r="M38" i="14" s="1"/>
  <c r="H42" i="11"/>
  <c r="F35" i="14" s="1"/>
  <c r="G44" i="11"/>
  <c r="E37" i="14" s="1"/>
  <c r="J42" i="11"/>
  <c r="H35" i="14" s="1"/>
  <c r="O42" i="11"/>
  <c r="M35" i="14" s="1"/>
  <c r="I42" i="11"/>
  <c r="G35" i="14" s="1"/>
  <c r="H44" i="11"/>
  <c r="F37" i="14" s="1"/>
  <c r="I44" i="11"/>
  <c r="G37" i="14" s="1"/>
  <c r="K42" i="11"/>
  <c r="I35" i="14" s="1"/>
  <c r="J44" i="11"/>
  <c r="H37" i="14" s="1"/>
  <c r="L42" i="11"/>
  <c r="J35" i="14" s="1"/>
  <c r="P44" i="11"/>
  <c r="N37" i="14" s="1"/>
  <c r="M42" i="11"/>
  <c r="K35" i="14" s="1"/>
  <c r="Q44" i="11"/>
  <c r="N42" i="11"/>
  <c r="L35" i="14" s="1"/>
  <c r="F45" i="11"/>
  <c r="D38" i="14" s="1"/>
  <c r="G45" i="11"/>
  <c r="E38" i="14" s="1"/>
  <c r="P42" i="11"/>
  <c r="N35" i="14" s="1"/>
  <c r="H45" i="11"/>
  <c r="F38" i="14" s="1"/>
  <c r="S42" i="11"/>
  <c r="H43" i="11"/>
  <c r="F36" i="14" s="1"/>
  <c r="L44" i="11"/>
  <c r="J37" i="14" s="1"/>
  <c r="P45" i="11"/>
  <c r="N38" i="14" s="1"/>
  <c r="I43" i="11"/>
  <c r="G36" i="14" s="1"/>
  <c r="M44" i="11"/>
  <c r="K37" i="14" s="1"/>
  <c r="J43" i="11"/>
  <c r="H36" i="14" s="1"/>
  <c r="N44" i="11"/>
  <c r="L37" i="14" s="1"/>
  <c r="F43" i="11"/>
  <c r="D36" i="14" s="1"/>
  <c r="G43" i="11"/>
  <c r="E36" i="14" s="1"/>
  <c r="K44" i="11"/>
  <c r="I37" i="14" s="1"/>
  <c r="S45" i="11" l="1"/>
  <c r="R43" i="11"/>
  <c r="R44" i="11"/>
  <c r="Q38" i="14"/>
  <c r="R42" i="11"/>
  <c r="R45" i="11"/>
  <c r="I38" i="14"/>
  <c r="P38" i="14" s="1"/>
  <c r="Q35" i="14"/>
  <c r="P35" i="14"/>
  <c r="P37" i="14"/>
  <c r="S43" i="11"/>
  <c r="O36" i="14"/>
  <c r="Q36" i="14" s="1"/>
  <c r="P36" i="14"/>
  <c r="S44" i="11"/>
  <c r="O37" i="14"/>
  <c r="Q37" i="14" s="1"/>
  <c r="D8" i="11"/>
  <c r="D7" i="11"/>
  <c r="D6" i="11"/>
  <c r="D5" i="11"/>
  <c r="D9" i="11"/>
  <c r="C9" i="14" s="1"/>
  <c r="H5" i="11" l="1"/>
  <c r="F5" i="14" s="1"/>
  <c r="C5" i="14"/>
  <c r="O5" i="11"/>
  <c r="M5" i="14" s="1"/>
  <c r="L5" i="11"/>
  <c r="J5" i="14" s="1"/>
  <c r="N5" i="11"/>
  <c r="L5" i="14" s="1"/>
  <c r="K6" i="11"/>
  <c r="C6" i="14"/>
  <c r="Q8" i="11"/>
  <c r="O8" i="14" s="1"/>
  <c r="C8" i="14"/>
  <c r="M5" i="11"/>
  <c r="K5" i="14" s="1"/>
  <c r="N7" i="11"/>
  <c r="L7" i="14" s="1"/>
  <c r="C7" i="14"/>
  <c r="M6" i="11"/>
  <c r="K6" i="14" s="1"/>
  <c r="Q6" i="11"/>
  <c r="O6" i="14" s="1"/>
  <c r="O7" i="11"/>
  <c r="M7" i="14" s="1"/>
  <c r="L6" i="11"/>
  <c r="J6" i="14" s="1"/>
  <c r="P6" i="11"/>
  <c r="N6" i="14" s="1"/>
  <c r="P7" i="11"/>
  <c r="N7" i="14" s="1"/>
  <c r="I5" i="11"/>
  <c r="G5" i="14" s="1"/>
  <c r="Q7" i="11"/>
  <c r="J5" i="11"/>
  <c r="H5" i="14" s="1"/>
  <c r="N6" i="11"/>
  <c r="L6" i="14" s="1"/>
  <c r="K5" i="11"/>
  <c r="O6" i="11"/>
  <c r="M6" i="14" s="1"/>
  <c r="F8" i="11"/>
  <c r="D8" i="14" s="1"/>
  <c r="G8" i="11"/>
  <c r="E8" i="14" s="1"/>
  <c r="H7" i="11"/>
  <c r="F7" i="14" s="1"/>
  <c r="K8" i="11"/>
  <c r="F6" i="11"/>
  <c r="D6" i="14" s="1"/>
  <c r="O8" i="11"/>
  <c r="M8" i="14" s="1"/>
  <c r="H8" i="11"/>
  <c r="F8" i="14" s="1"/>
  <c r="P5" i="11"/>
  <c r="N5" i="14" s="1"/>
  <c r="F7" i="11"/>
  <c r="D7" i="14" s="1"/>
  <c r="I8" i="11"/>
  <c r="G8" i="14" s="1"/>
  <c r="Q5" i="11"/>
  <c r="G7" i="11"/>
  <c r="E7" i="14" s="1"/>
  <c r="J8" i="11"/>
  <c r="H8" i="14" s="1"/>
  <c r="S6" i="11"/>
  <c r="I7" i="11"/>
  <c r="G7" i="14" s="1"/>
  <c r="L8" i="11"/>
  <c r="J8" i="14" s="1"/>
  <c r="G6" i="11"/>
  <c r="E6" i="14" s="1"/>
  <c r="J7" i="11"/>
  <c r="H7" i="14" s="1"/>
  <c r="M8" i="11"/>
  <c r="K8" i="14" s="1"/>
  <c r="H6" i="11"/>
  <c r="F6" i="14" s="1"/>
  <c r="N8" i="11"/>
  <c r="L8" i="14" s="1"/>
  <c r="F5" i="11"/>
  <c r="D5" i="14" s="1"/>
  <c r="L7" i="11"/>
  <c r="J7" i="14" s="1"/>
  <c r="G5" i="11"/>
  <c r="E5" i="14" s="1"/>
  <c r="J6" i="11"/>
  <c r="H6" i="14" s="1"/>
  <c r="M7" i="11"/>
  <c r="K7" i="14" s="1"/>
  <c r="P8" i="11"/>
  <c r="N8" i="14" s="1"/>
  <c r="K7" i="11"/>
  <c r="I6" i="11"/>
  <c r="G6" i="14" s="1"/>
  <c r="Q8" i="14" l="1"/>
  <c r="S8" i="11"/>
  <c r="R8" i="11"/>
  <c r="I8" i="14"/>
  <c r="P8" i="14" s="1"/>
  <c r="Q6" i="14"/>
  <c r="R6" i="11"/>
  <c r="I6" i="14"/>
  <c r="P6" i="14" s="1"/>
  <c r="S7" i="11"/>
  <c r="O7" i="14"/>
  <c r="Q7" i="14" s="1"/>
  <c r="R7" i="11"/>
  <c r="I7" i="14"/>
  <c r="S5" i="11"/>
  <c r="O5" i="14"/>
  <c r="P7" i="14"/>
  <c r="Q5" i="14"/>
  <c r="R5" i="11"/>
  <c r="I5" i="14"/>
  <c r="P5" i="14" s="1"/>
  <c r="R32" i="12"/>
  <c r="R33" i="12" s="1"/>
  <c r="R31" i="12"/>
  <c r="R29" i="12"/>
  <c r="A29" i="12"/>
  <c r="L29" i="12" s="1"/>
  <c r="L30" i="12" s="1"/>
  <c r="L31" i="12" s="1"/>
  <c r="D70" i="11"/>
  <c r="K70" i="11" s="1"/>
  <c r="D69" i="11"/>
  <c r="N69" i="11" s="1"/>
  <c r="D68" i="11"/>
  <c r="J68" i="11" s="1"/>
  <c r="D67" i="11"/>
  <c r="D66" i="11"/>
  <c r="D65" i="11"/>
  <c r="C58" i="14" s="1"/>
  <c r="D64" i="11"/>
  <c r="D63" i="11"/>
  <c r="D62" i="11"/>
  <c r="D61" i="11"/>
  <c r="D60" i="11"/>
  <c r="D59" i="11"/>
  <c r="D58" i="11"/>
  <c r="G58" i="11" s="1"/>
  <c r="E51" i="14" s="1"/>
  <c r="D57" i="11"/>
  <c r="M57" i="11" s="1"/>
  <c r="K50" i="14" s="1"/>
  <c r="D56" i="11"/>
  <c r="I56" i="11" s="1"/>
  <c r="G49" i="14" s="1"/>
  <c r="D55" i="11"/>
  <c r="D54" i="11"/>
  <c r="H54" i="11" s="1"/>
  <c r="F47" i="14" s="1"/>
  <c r="D53" i="11"/>
  <c r="D52" i="11"/>
  <c r="D51" i="11"/>
  <c r="D50" i="11"/>
  <c r="D49" i="11"/>
  <c r="D48" i="11"/>
  <c r="D47" i="11"/>
  <c r="D46" i="11"/>
  <c r="D33" i="11"/>
  <c r="N33" i="11" s="1"/>
  <c r="D32" i="11"/>
  <c r="M32" i="11" s="1"/>
  <c r="D31" i="11"/>
  <c r="Q31" i="11" s="1"/>
  <c r="D30" i="11"/>
  <c r="P30" i="11" s="1"/>
  <c r="N30" i="14" s="1"/>
  <c r="D29" i="11"/>
  <c r="D28" i="11"/>
  <c r="D27" i="11"/>
  <c r="D26" i="11"/>
  <c r="H26" i="11" s="1"/>
  <c r="F26" i="14" s="1"/>
  <c r="D25" i="11"/>
  <c r="D24" i="11"/>
  <c r="K24" i="11" s="1"/>
  <c r="D23" i="11"/>
  <c r="D22" i="11"/>
  <c r="D21" i="11"/>
  <c r="D20" i="11"/>
  <c r="D19" i="11"/>
  <c r="D18" i="11"/>
  <c r="D17" i="11"/>
  <c r="D16" i="11"/>
  <c r="D15" i="11"/>
  <c r="D14" i="11"/>
  <c r="F14" i="11" s="1"/>
  <c r="D14" i="14" s="1"/>
  <c r="D13" i="11"/>
  <c r="G13" i="11" s="1"/>
  <c r="E13" i="14" s="1"/>
  <c r="D12" i="11"/>
  <c r="G12" i="11" s="1"/>
  <c r="E12" i="14" s="1"/>
  <c r="D11" i="11"/>
  <c r="F11" i="11" s="1"/>
  <c r="D11" i="14" s="1"/>
  <c r="D10" i="11"/>
  <c r="H9" i="11"/>
  <c r="F9" i="14" s="1"/>
  <c r="J10" i="11"/>
  <c r="H10" i="14" s="1"/>
  <c r="J16" i="11"/>
  <c r="H16" i="14" s="1"/>
  <c r="K29" i="11"/>
  <c r="L30" i="11"/>
  <c r="J30" i="14" s="1"/>
  <c r="O28" i="11"/>
  <c r="M28" i="14" s="1"/>
  <c r="O29" i="11"/>
  <c r="M29" i="14" s="1"/>
  <c r="I9" i="11"/>
  <c r="G9" i="14" s="1"/>
  <c r="M9" i="11"/>
  <c r="K9" i="14" s="1"/>
  <c r="Q9" i="11"/>
  <c r="I10" i="11"/>
  <c r="G10" i="14" s="1"/>
  <c r="Q12" i="11"/>
  <c r="K26" i="11"/>
  <c r="K27" i="11"/>
  <c r="L22" i="11"/>
  <c r="J22" i="14" s="1"/>
  <c r="H22" i="11"/>
  <c r="F22" i="14" s="1"/>
  <c r="N22" i="11"/>
  <c r="L22" i="14" s="1"/>
  <c r="J22" i="11"/>
  <c r="H22" i="14" s="1"/>
  <c r="H27" i="11"/>
  <c r="F27" i="14" s="1"/>
  <c r="N27" i="11"/>
  <c r="L27" i="14" s="1"/>
  <c r="J27" i="11"/>
  <c r="H27" i="14" s="1"/>
  <c r="F27" i="11"/>
  <c r="D27" i="14" s="1"/>
  <c r="G9" i="11"/>
  <c r="E9" i="14" s="1"/>
  <c r="K9" i="11"/>
  <c r="I9" i="14" s="1"/>
  <c r="P9" i="14" s="1"/>
  <c r="O9" i="11"/>
  <c r="M9" i="14" s="1"/>
  <c r="G14" i="11"/>
  <c r="E14" i="14" s="1"/>
  <c r="K14" i="11"/>
  <c r="I14" i="14" s="1"/>
  <c r="O23" i="11"/>
  <c r="M23" i="14" s="1"/>
  <c r="H10" i="11"/>
  <c r="F10" i="14" s="1"/>
  <c r="L10" i="11"/>
  <c r="J10" i="14" s="1"/>
  <c r="H11" i="11"/>
  <c r="F11" i="14" s="1"/>
  <c r="L11" i="11"/>
  <c r="J11" i="14" s="1"/>
  <c r="H13" i="11"/>
  <c r="F13" i="14" s="1"/>
  <c r="L13" i="11"/>
  <c r="J13" i="14" s="1"/>
  <c r="H19" i="11"/>
  <c r="F19" i="14" s="1"/>
  <c r="J19" i="11"/>
  <c r="H19" i="14" s="1"/>
  <c r="O19" i="11"/>
  <c r="M19" i="14" s="1"/>
  <c r="Q23" i="11"/>
  <c r="I27" i="11"/>
  <c r="G27" i="14" s="1"/>
  <c r="Q27" i="11"/>
  <c r="F28" i="11"/>
  <c r="D28" i="14" s="1"/>
  <c r="J28" i="11"/>
  <c r="H28" i="14" s="1"/>
  <c r="N28" i="11"/>
  <c r="L28" i="14" s="1"/>
  <c r="F29" i="11"/>
  <c r="D29" i="14" s="1"/>
  <c r="J29" i="11"/>
  <c r="H29" i="14" s="1"/>
  <c r="N29" i="11"/>
  <c r="L29" i="14" s="1"/>
  <c r="K30" i="11"/>
  <c r="O57" i="11"/>
  <c r="M50" i="14" s="1"/>
  <c r="H28" i="11"/>
  <c r="F28" i="14" s="1"/>
  <c r="L28" i="11"/>
  <c r="J28" i="14" s="1"/>
  <c r="P28" i="11"/>
  <c r="N28" i="14" s="1"/>
  <c r="H29" i="11"/>
  <c r="F29" i="14" s="1"/>
  <c r="L29" i="11"/>
  <c r="J29" i="14" s="1"/>
  <c r="P29" i="11"/>
  <c r="N29" i="14" s="1"/>
  <c r="I28" i="11"/>
  <c r="G28" i="14" s="1"/>
  <c r="M28" i="11"/>
  <c r="K28" i="14" s="1"/>
  <c r="I29" i="11"/>
  <c r="G29" i="14" s="1"/>
  <c r="M29" i="11"/>
  <c r="K29" i="14" s="1"/>
  <c r="I30" i="11"/>
  <c r="G30" i="14" s="1"/>
  <c r="M54" i="11"/>
  <c r="K47" i="14" s="1"/>
  <c r="G28" i="11"/>
  <c r="E28" i="14" s="1"/>
  <c r="G29" i="11"/>
  <c r="E29" i="14" s="1"/>
  <c r="Q30" i="11"/>
  <c r="I57" i="11" l="1"/>
  <c r="G50" i="14" s="1"/>
  <c r="P58" i="11"/>
  <c r="N51" i="14" s="1"/>
  <c r="F58" i="11"/>
  <c r="D51" i="14" s="1"/>
  <c r="L58" i="11"/>
  <c r="J51" i="14" s="1"/>
  <c r="I58" i="11"/>
  <c r="G51" i="14" s="1"/>
  <c r="Q57" i="11"/>
  <c r="K58" i="11"/>
  <c r="H58" i="11"/>
  <c r="F51" i="14" s="1"/>
  <c r="M58" i="11"/>
  <c r="K51" i="14" s="1"/>
  <c r="N57" i="11"/>
  <c r="L50" i="14" s="1"/>
  <c r="O58" i="11"/>
  <c r="M51" i="14" s="1"/>
  <c r="K57" i="11"/>
  <c r="R57" i="11" s="1"/>
  <c r="Q58" i="11"/>
  <c r="S58" i="11" s="1"/>
  <c r="H57" i="11"/>
  <c r="F50" i="14" s="1"/>
  <c r="F57" i="11"/>
  <c r="D50" i="14" s="1"/>
  <c r="P57" i="11"/>
  <c r="N50" i="14" s="1"/>
  <c r="R24" i="11"/>
  <c r="I24" i="14"/>
  <c r="R27" i="11"/>
  <c r="I27" i="14"/>
  <c r="R29" i="11"/>
  <c r="I29" i="14"/>
  <c r="P25" i="11"/>
  <c r="N25" i="14" s="1"/>
  <c r="C25" i="14"/>
  <c r="I12" i="11"/>
  <c r="G12" i="14" s="1"/>
  <c r="K13" i="11"/>
  <c r="K25" i="11"/>
  <c r="J14" i="11"/>
  <c r="H14" i="14" s="1"/>
  <c r="P15" i="11"/>
  <c r="N15" i="14" s="1"/>
  <c r="C15" i="14"/>
  <c r="G27" i="11"/>
  <c r="E27" i="14" s="1"/>
  <c r="C27" i="14"/>
  <c r="P27" i="14" s="1"/>
  <c r="O56" i="11"/>
  <c r="M49" i="14" s="1"/>
  <c r="M30" i="11"/>
  <c r="K30" i="14" s="1"/>
  <c r="Q26" i="11"/>
  <c r="P27" i="11"/>
  <c r="N27" i="14" s="1"/>
  <c r="S9" i="11"/>
  <c r="O9" i="14"/>
  <c r="Q9" i="14" s="1"/>
  <c r="P16" i="11"/>
  <c r="N16" i="14" s="1"/>
  <c r="C16" i="14"/>
  <c r="Q28" i="11"/>
  <c r="C28" i="14"/>
  <c r="B17" i="13"/>
  <c r="C17" i="13" s="1"/>
  <c r="H30" i="11"/>
  <c r="F30" i="14" s="1"/>
  <c r="I25" i="11"/>
  <c r="G25" i="14" s="1"/>
  <c r="O12" i="11"/>
  <c r="M12" i="14" s="1"/>
  <c r="M15" i="11"/>
  <c r="K15" i="14" s="1"/>
  <c r="P17" i="11"/>
  <c r="N17" i="14" s="1"/>
  <c r="C17" i="14"/>
  <c r="Q29" i="11"/>
  <c r="C29" i="14"/>
  <c r="P13" i="11"/>
  <c r="N13" i="14" s="1"/>
  <c r="C13" i="14"/>
  <c r="S27" i="11"/>
  <c r="O27" i="14"/>
  <c r="O13" i="11"/>
  <c r="M13" i="14" s="1"/>
  <c r="R26" i="11"/>
  <c r="I26" i="14"/>
  <c r="P14" i="11"/>
  <c r="N14" i="14" s="1"/>
  <c r="C14" i="14"/>
  <c r="N26" i="11"/>
  <c r="L26" i="14" s="1"/>
  <c r="C26" i="14"/>
  <c r="S23" i="11"/>
  <c r="O23" i="14"/>
  <c r="K12" i="11"/>
  <c r="L26" i="11"/>
  <c r="J26" i="14" s="1"/>
  <c r="Q14" i="11"/>
  <c r="F12" i="11"/>
  <c r="D12" i="14" s="1"/>
  <c r="M18" i="11"/>
  <c r="K18" i="14" s="1"/>
  <c r="C18" i="14"/>
  <c r="G30" i="11"/>
  <c r="E30" i="14" s="1"/>
  <c r="C30" i="14"/>
  <c r="O30" i="11"/>
  <c r="M30" i="14" s="1"/>
  <c r="F30" i="11"/>
  <c r="D30" i="14" s="1"/>
  <c r="O25" i="11"/>
  <c r="M25" i="14" s="1"/>
  <c r="P26" i="11"/>
  <c r="N26" i="14" s="1"/>
  <c r="M14" i="11"/>
  <c r="K14" i="14" s="1"/>
  <c r="P19" i="11"/>
  <c r="N19" i="14" s="1"/>
  <c r="C19" i="14"/>
  <c r="P12" i="11"/>
  <c r="N12" i="14" s="1"/>
  <c r="C12" i="14"/>
  <c r="P24" i="11"/>
  <c r="N24" i="14" s="1"/>
  <c r="C24" i="14"/>
  <c r="R30" i="11"/>
  <c r="I30" i="14"/>
  <c r="P30" i="14" s="1"/>
  <c r="N25" i="11"/>
  <c r="L25" i="14" s="1"/>
  <c r="I14" i="11"/>
  <c r="G14" i="14" s="1"/>
  <c r="O20" i="11"/>
  <c r="M20" i="14" s="1"/>
  <c r="C20" i="14"/>
  <c r="J30" i="11"/>
  <c r="H30" i="14" s="1"/>
  <c r="Q13" i="11"/>
  <c r="N14" i="11"/>
  <c r="L14" i="14" s="1"/>
  <c r="N21" i="11"/>
  <c r="L21" i="14" s="1"/>
  <c r="C21" i="14"/>
  <c r="M12" i="11"/>
  <c r="K12" i="14" s="1"/>
  <c r="H12" i="11"/>
  <c r="F12" i="14" s="1"/>
  <c r="G25" i="11"/>
  <c r="E25" i="14" s="1"/>
  <c r="H32" i="11"/>
  <c r="N30" i="11"/>
  <c r="L30" i="14" s="1"/>
  <c r="L14" i="11"/>
  <c r="J14" i="14" s="1"/>
  <c r="O14" i="11"/>
  <c r="M14" i="14" s="1"/>
  <c r="M13" i="11"/>
  <c r="K13" i="14" s="1"/>
  <c r="N13" i="11"/>
  <c r="L13" i="14" s="1"/>
  <c r="P10" i="11"/>
  <c r="N10" i="14" s="1"/>
  <c r="C10" i="14"/>
  <c r="P22" i="11"/>
  <c r="N22" i="14" s="1"/>
  <c r="C22" i="14"/>
  <c r="S12" i="11"/>
  <c r="O12" i="14"/>
  <c r="S30" i="11"/>
  <c r="O30" i="14"/>
  <c r="Q30" i="14" s="1"/>
  <c r="H14" i="11"/>
  <c r="F14" i="14" s="1"/>
  <c r="R14" i="11"/>
  <c r="M27" i="11"/>
  <c r="K27" i="14" s="1"/>
  <c r="I13" i="11"/>
  <c r="G13" i="14" s="1"/>
  <c r="N12" i="11"/>
  <c r="L12" i="14" s="1"/>
  <c r="P11" i="11"/>
  <c r="N11" i="14" s="1"/>
  <c r="C11" i="14"/>
  <c r="N23" i="11"/>
  <c r="L23" i="14" s="1"/>
  <c r="C23" i="14"/>
  <c r="N59" i="11"/>
  <c r="L52" i="14" s="1"/>
  <c r="C52" i="14"/>
  <c r="N61" i="11"/>
  <c r="L54" i="14" s="1"/>
  <c r="C54" i="14"/>
  <c r="N63" i="11"/>
  <c r="L56" i="14" s="1"/>
  <c r="C56" i="14"/>
  <c r="R58" i="11"/>
  <c r="I51" i="14"/>
  <c r="N62" i="11"/>
  <c r="L55" i="14" s="1"/>
  <c r="C55" i="14"/>
  <c r="N48" i="11"/>
  <c r="L41" i="14" s="1"/>
  <c r="C41" i="14"/>
  <c r="L50" i="11"/>
  <c r="J43" i="14" s="1"/>
  <c r="C43" i="14"/>
  <c r="G49" i="11"/>
  <c r="E42" i="14" s="1"/>
  <c r="C42" i="14"/>
  <c r="I66" i="11"/>
  <c r="G59" i="14" s="1"/>
  <c r="C59" i="14"/>
  <c r="N53" i="11"/>
  <c r="L46" i="14" s="1"/>
  <c r="C46" i="14"/>
  <c r="J54" i="11"/>
  <c r="H47" i="14" s="1"/>
  <c r="C47" i="14"/>
  <c r="N56" i="11"/>
  <c r="L49" i="14" s="1"/>
  <c r="C49" i="14"/>
  <c r="F46" i="11"/>
  <c r="D39" i="14" s="1"/>
  <c r="C39" i="14"/>
  <c r="N47" i="11"/>
  <c r="L40" i="14" s="1"/>
  <c r="C40" i="14"/>
  <c r="N51" i="11"/>
  <c r="L44" i="14" s="1"/>
  <c r="C44" i="14"/>
  <c r="S57" i="11"/>
  <c r="O50" i="14"/>
  <c r="G54" i="11"/>
  <c r="E47" i="14" s="1"/>
  <c r="L55" i="11"/>
  <c r="J48" i="14" s="1"/>
  <c r="C48" i="14"/>
  <c r="J57" i="11"/>
  <c r="H50" i="14" s="1"/>
  <c r="C50" i="14"/>
  <c r="N60" i="11"/>
  <c r="L53" i="14" s="1"/>
  <c r="C53" i="14"/>
  <c r="O64" i="11"/>
  <c r="M57" i="14" s="1"/>
  <c r="C57" i="14"/>
  <c r="N67" i="11"/>
  <c r="L60" i="14" s="1"/>
  <c r="C60" i="14"/>
  <c r="N52" i="11"/>
  <c r="L45" i="14" s="1"/>
  <c r="C45" i="14"/>
  <c r="J58" i="11"/>
  <c r="H51" i="14" s="1"/>
  <c r="C51" i="14"/>
  <c r="N65" i="11"/>
  <c r="L58" i="14" s="1"/>
  <c r="B9" i="13"/>
  <c r="C9" i="13" s="1"/>
  <c r="K54" i="11"/>
  <c r="O54" i="11"/>
  <c r="M47" i="14" s="1"/>
  <c r="F60" i="11"/>
  <c r="D53" i="14" s="1"/>
  <c r="L60" i="11"/>
  <c r="J53" i="14" s="1"/>
  <c r="Q60" i="11"/>
  <c r="H60" i="11"/>
  <c r="F53" i="14" s="1"/>
  <c r="G60" i="11"/>
  <c r="E53" i="14" s="1"/>
  <c r="M60" i="11"/>
  <c r="K53" i="14" s="1"/>
  <c r="K60" i="11"/>
  <c r="Q67" i="11"/>
  <c r="L53" i="11"/>
  <c r="J46" i="14" s="1"/>
  <c r="L67" i="11"/>
  <c r="J60" i="14" s="1"/>
  <c r="M53" i="11"/>
  <c r="K46" i="14" s="1"/>
  <c r="F67" i="11"/>
  <c r="D60" i="14" s="1"/>
  <c r="I60" i="11"/>
  <c r="G53" i="14" s="1"/>
  <c r="O60" i="11"/>
  <c r="M53" i="14" s="1"/>
  <c r="M55" i="11"/>
  <c r="K48" i="14" s="1"/>
  <c r="J60" i="11"/>
  <c r="H53" i="14" s="1"/>
  <c r="P60" i="11"/>
  <c r="N53" i="14" s="1"/>
  <c r="J15" i="11"/>
  <c r="H15" i="14" s="1"/>
  <c r="K15" i="11"/>
  <c r="G15" i="11"/>
  <c r="E15" i="14" s="1"/>
  <c r="G31" i="11"/>
  <c r="O31" i="11"/>
  <c r="L31" i="11"/>
  <c r="F15" i="11"/>
  <c r="D15" i="14" s="1"/>
  <c r="L16" i="11"/>
  <c r="J16" i="14" s="1"/>
  <c r="O15" i="11"/>
  <c r="M15" i="14" s="1"/>
  <c r="P32" i="11"/>
  <c r="N17" i="11"/>
  <c r="L17" i="14" s="1"/>
  <c r="L17" i="11"/>
  <c r="J17" i="14" s="1"/>
  <c r="L15" i="11"/>
  <c r="J15" i="14" s="1"/>
  <c r="H17" i="11"/>
  <c r="F17" i="14" s="1"/>
  <c r="N15" i="11"/>
  <c r="L15" i="14" s="1"/>
  <c r="J32" i="11"/>
  <c r="G33" i="11"/>
  <c r="N31" i="11"/>
  <c r="Q32" i="11"/>
  <c r="O17" i="11"/>
  <c r="M17" i="14" s="1"/>
  <c r="I31" i="11"/>
  <c r="G22" i="11"/>
  <c r="E22" i="14" s="1"/>
  <c r="Q17" i="11"/>
  <c r="G32" i="11"/>
  <c r="F32" i="11"/>
  <c r="G17" i="11"/>
  <c r="E17" i="14" s="1"/>
  <c r="Q16" i="11"/>
  <c r="N32" i="11"/>
  <c r="I32" i="11"/>
  <c r="H16" i="11"/>
  <c r="F16" i="14" s="1"/>
  <c r="I17" i="11"/>
  <c r="G17" i="14" s="1"/>
  <c r="O32" i="11"/>
  <c r="P31" i="11"/>
  <c r="N16" i="11"/>
  <c r="L16" i="14" s="1"/>
  <c r="O22" i="11"/>
  <c r="M22" i="14" s="1"/>
  <c r="H15" i="11"/>
  <c r="F15" i="14" s="1"/>
  <c r="L32" i="11"/>
  <c r="O16" i="11"/>
  <c r="M16" i="14" s="1"/>
  <c r="M25" i="11"/>
  <c r="K25" i="14" s="1"/>
  <c r="K31" i="11"/>
  <c r="R31" i="11" s="1"/>
  <c r="I26" i="11"/>
  <c r="G26" i="14" s="1"/>
  <c r="K16" i="11"/>
  <c r="K10" i="11"/>
  <c r="F25" i="11"/>
  <c r="D25" i="14" s="1"/>
  <c r="I16" i="11"/>
  <c r="G16" i="14" s="1"/>
  <c r="K28" i="11"/>
  <c r="J31" i="11"/>
  <c r="I15" i="11"/>
  <c r="G15" i="14" s="1"/>
  <c r="F16" i="11"/>
  <c r="D16" i="14" s="1"/>
  <c r="M31" i="11"/>
  <c r="H31" i="11"/>
  <c r="M17" i="11"/>
  <c r="K17" i="14" s="1"/>
  <c r="K32" i="11"/>
  <c r="K17" i="11"/>
  <c r="M16" i="11"/>
  <c r="K16" i="14" s="1"/>
  <c r="F31" i="11"/>
  <c r="Q25" i="11"/>
  <c r="L12" i="11"/>
  <c r="J12" i="14" s="1"/>
  <c r="G16" i="11"/>
  <c r="E16" i="14" s="1"/>
  <c r="G10" i="11"/>
  <c r="E10" i="14" s="1"/>
  <c r="J25" i="11"/>
  <c r="H25" i="14" s="1"/>
  <c r="Q15" i="11"/>
  <c r="F13" i="11"/>
  <c r="D13" i="14" s="1"/>
  <c r="J17" i="11"/>
  <c r="H17" i="14" s="1"/>
  <c r="G67" i="11"/>
  <c r="E60" i="14" s="1"/>
  <c r="P56" i="11"/>
  <c r="N49" i="14" s="1"/>
  <c r="F56" i="11"/>
  <c r="D49" i="14" s="1"/>
  <c r="L49" i="11"/>
  <c r="J42" i="14" s="1"/>
  <c r="L56" i="11"/>
  <c r="J49" i="14" s="1"/>
  <c r="Q66" i="11"/>
  <c r="J67" i="11"/>
  <c r="H60" i="14" s="1"/>
  <c r="M49" i="11"/>
  <c r="K42" i="14" s="1"/>
  <c r="H55" i="11"/>
  <c r="F48" i="14" s="1"/>
  <c r="K56" i="11"/>
  <c r="N19" i="11"/>
  <c r="L19" i="14" s="1"/>
  <c r="G19" i="11"/>
  <c r="E19" i="14" s="1"/>
  <c r="L33" i="11"/>
  <c r="Q18" i="11"/>
  <c r="K19" i="11"/>
  <c r="I18" i="11"/>
  <c r="G18" i="14" s="1"/>
  <c r="M19" i="11"/>
  <c r="K19" i="14" s="1"/>
  <c r="J18" i="11"/>
  <c r="H18" i="14" s="1"/>
  <c r="F19" i="11"/>
  <c r="D19" i="14" s="1"/>
  <c r="F9" i="11"/>
  <c r="D9" i="14" s="1"/>
  <c r="Q22" i="11"/>
  <c r="H25" i="11"/>
  <c r="F25" i="14" s="1"/>
  <c r="K22" i="11"/>
  <c r="G18" i="11"/>
  <c r="E18" i="14" s="1"/>
  <c r="L25" i="11"/>
  <c r="J25" i="14" s="1"/>
  <c r="P18" i="11"/>
  <c r="N18" i="14" s="1"/>
  <c r="Q20" i="11"/>
  <c r="L9" i="11"/>
  <c r="J9" i="14" s="1"/>
  <c r="L27" i="11"/>
  <c r="J27" i="14" s="1"/>
  <c r="Q19" i="11"/>
  <c r="J33" i="11"/>
  <c r="L18" i="11"/>
  <c r="J18" i="14" s="1"/>
  <c r="J20" i="11"/>
  <c r="H20" i="14" s="1"/>
  <c r="O11" i="11"/>
  <c r="M11" i="14" s="1"/>
  <c r="J24" i="11"/>
  <c r="H24" i="14" s="1"/>
  <c r="Q11" i="11"/>
  <c r="I19" i="11"/>
  <c r="G19" i="14" s="1"/>
  <c r="H18" i="11"/>
  <c r="F18" i="14" s="1"/>
  <c r="I22" i="11"/>
  <c r="G22" i="14" s="1"/>
  <c r="K33" i="11"/>
  <c r="N20" i="11"/>
  <c r="L20" i="14" s="1"/>
  <c r="O27" i="11"/>
  <c r="M27" i="14" s="1"/>
  <c r="K11" i="11"/>
  <c r="M26" i="11"/>
  <c r="K26" i="14" s="1"/>
  <c r="H24" i="11"/>
  <c r="F24" i="14" s="1"/>
  <c r="M11" i="11"/>
  <c r="K11" i="14" s="1"/>
  <c r="K18" i="11"/>
  <c r="N11" i="11"/>
  <c r="L11" i="14" s="1"/>
  <c r="N18" i="11"/>
  <c r="L18" i="14" s="1"/>
  <c r="Q33" i="11"/>
  <c r="F18" i="11"/>
  <c r="D18" i="14" s="1"/>
  <c r="I33" i="11"/>
  <c r="H20" i="11"/>
  <c r="F20" i="14" s="1"/>
  <c r="G11" i="11"/>
  <c r="E11" i="14" s="1"/>
  <c r="F26" i="11"/>
  <c r="D26" i="14" s="1"/>
  <c r="L24" i="11"/>
  <c r="J24" i="14" s="1"/>
  <c r="I11" i="11"/>
  <c r="G11" i="14" s="1"/>
  <c r="P33" i="11"/>
  <c r="N10" i="11"/>
  <c r="L10" i="14" s="1"/>
  <c r="J13" i="11"/>
  <c r="H13" i="14" s="1"/>
  <c r="O18" i="11"/>
  <c r="M18" i="14" s="1"/>
  <c r="F33" i="11"/>
  <c r="P9" i="11"/>
  <c r="N9" i="14" s="1"/>
  <c r="R9" i="11"/>
  <c r="M33" i="11"/>
  <c r="L20" i="11"/>
  <c r="J20" i="14" s="1"/>
  <c r="O26" i="11"/>
  <c r="M26" i="14" s="1"/>
  <c r="J26" i="11"/>
  <c r="H26" i="14" s="1"/>
  <c r="M22" i="11"/>
  <c r="K22" i="14" s="1"/>
  <c r="Q10" i="11"/>
  <c r="H33" i="11"/>
  <c r="N9" i="11"/>
  <c r="L9" i="14" s="1"/>
  <c r="J12" i="11"/>
  <c r="H12" i="14" s="1"/>
  <c r="L19" i="11"/>
  <c r="J19" i="14" s="1"/>
  <c r="P20" i="11"/>
  <c r="N20" i="14" s="1"/>
  <c r="G26" i="11"/>
  <c r="E26" i="14" s="1"/>
  <c r="O10" i="11"/>
  <c r="M10" i="14" s="1"/>
  <c r="F22" i="11"/>
  <c r="D22" i="14" s="1"/>
  <c r="M10" i="11"/>
  <c r="K10" i="14" s="1"/>
  <c r="O33" i="11"/>
  <c r="J11" i="11"/>
  <c r="H11" i="14" s="1"/>
  <c r="M68" i="11"/>
  <c r="N50" i="11"/>
  <c r="L43" i="14" s="1"/>
  <c r="N68" i="11"/>
  <c r="Q68" i="11"/>
  <c r="S68" i="11" s="1"/>
  <c r="J49" i="11"/>
  <c r="H42" i="14" s="1"/>
  <c r="F68" i="11"/>
  <c r="P67" i="11"/>
  <c r="N60" i="14" s="1"/>
  <c r="P49" i="11"/>
  <c r="N42" i="14" s="1"/>
  <c r="I50" i="11"/>
  <c r="G43" i="14" s="1"/>
  <c r="H68" i="11"/>
  <c r="G57" i="11"/>
  <c r="E50" i="14" s="1"/>
  <c r="H67" i="11"/>
  <c r="F60" i="14" s="1"/>
  <c r="O68" i="11"/>
  <c r="H56" i="11"/>
  <c r="F49" i="14" s="1"/>
  <c r="J56" i="11"/>
  <c r="H49" i="14" s="1"/>
  <c r="I69" i="11"/>
  <c r="L68" i="11"/>
  <c r="G68" i="11"/>
  <c r="I67" i="11"/>
  <c r="G60" i="14" s="1"/>
  <c r="L57" i="11"/>
  <c r="J50" i="14" s="1"/>
  <c r="H63" i="11"/>
  <c r="F56" i="14" s="1"/>
  <c r="P68" i="11"/>
  <c r="M56" i="11"/>
  <c r="K49" i="14" s="1"/>
  <c r="Q69" i="11"/>
  <c r="I52" i="11"/>
  <c r="G45" i="14" s="1"/>
  <c r="Q55" i="11"/>
  <c r="G69" i="11"/>
  <c r="M67" i="11"/>
  <c r="K60" i="14" s="1"/>
  <c r="K68" i="11"/>
  <c r="R68" i="11" s="1"/>
  <c r="Q56" i="11"/>
  <c r="I68" i="11"/>
  <c r="G56" i="11"/>
  <c r="E49" i="14" s="1"/>
  <c r="O46" i="11"/>
  <c r="M39" i="14" s="1"/>
  <c r="O49" i="11"/>
  <c r="M42" i="14" s="1"/>
  <c r="K63" i="11"/>
  <c r="H49" i="11"/>
  <c r="F42" i="14" s="1"/>
  <c r="O63" i="11"/>
  <c r="M56" i="14" s="1"/>
  <c r="J63" i="11"/>
  <c r="H56" i="14" s="1"/>
  <c r="J50" i="11"/>
  <c r="H43" i="14" s="1"/>
  <c r="P52" i="11"/>
  <c r="N45" i="14" s="1"/>
  <c r="F52" i="11"/>
  <c r="D45" i="14" s="1"/>
  <c r="G63" i="11"/>
  <c r="E56" i="14" s="1"/>
  <c r="M63" i="11"/>
  <c r="K56" i="14" s="1"/>
  <c r="L52" i="11"/>
  <c r="J45" i="14" s="1"/>
  <c r="L46" i="11"/>
  <c r="J39" i="14" s="1"/>
  <c r="P46" i="11"/>
  <c r="N39" i="14" s="1"/>
  <c r="M47" i="11"/>
  <c r="K40" i="14" s="1"/>
  <c r="I63" i="11"/>
  <c r="G56" i="14" s="1"/>
  <c r="G47" i="11"/>
  <c r="E40" i="14" s="1"/>
  <c r="K47" i="11"/>
  <c r="H46" i="11"/>
  <c r="F39" i="14" s="1"/>
  <c r="O47" i="11"/>
  <c r="M40" i="14" s="1"/>
  <c r="Q65" i="11"/>
  <c r="O58" i="14" s="1"/>
  <c r="Q58" i="14" s="1"/>
  <c r="M50" i="11"/>
  <c r="K43" i="14" s="1"/>
  <c r="I49" i="11"/>
  <c r="G42" i="14" s="1"/>
  <c r="H47" i="11"/>
  <c r="F40" i="14" s="1"/>
  <c r="F49" i="11"/>
  <c r="D42" i="14" s="1"/>
  <c r="Q49" i="11"/>
  <c r="L65" i="11"/>
  <c r="J58" i="14" s="1"/>
  <c r="O50" i="11"/>
  <c r="M43" i="14" s="1"/>
  <c r="Q47" i="11"/>
  <c r="L47" i="11"/>
  <c r="J40" i="14" s="1"/>
  <c r="N49" i="11"/>
  <c r="L42" i="14" s="1"/>
  <c r="F65" i="11"/>
  <c r="D58" i="14" s="1"/>
  <c r="I47" i="11"/>
  <c r="G40" i="14" s="1"/>
  <c r="P47" i="11"/>
  <c r="N40" i="14" s="1"/>
  <c r="Q63" i="11"/>
  <c r="O65" i="11"/>
  <c r="M58" i="14" s="1"/>
  <c r="M46" i="11"/>
  <c r="K39" i="14" s="1"/>
  <c r="M65" i="11"/>
  <c r="K58" i="14" s="1"/>
  <c r="L63" i="11"/>
  <c r="J56" i="14" s="1"/>
  <c r="G64" i="11"/>
  <c r="E57" i="14" s="1"/>
  <c r="Q46" i="11"/>
  <c r="G46" i="11"/>
  <c r="E39" i="14" s="1"/>
  <c r="K49" i="11"/>
  <c r="H65" i="11"/>
  <c r="F58" i="14" s="1"/>
  <c r="P63" i="11"/>
  <c r="N56" i="14" s="1"/>
  <c r="I46" i="11"/>
  <c r="G39" i="14" s="1"/>
  <c r="K46" i="11"/>
  <c r="M61" i="11"/>
  <c r="K54" i="14" s="1"/>
  <c r="O61" i="11"/>
  <c r="M54" i="14" s="1"/>
  <c r="L61" i="11"/>
  <c r="J54" i="14" s="1"/>
  <c r="P62" i="11"/>
  <c r="N55" i="14" s="1"/>
  <c r="K50" i="11"/>
  <c r="Q52" i="11"/>
  <c r="Q50" i="11"/>
  <c r="O43" i="14" s="1"/>
  <c r="H50" i="11"/>
  <c r="F43" i="14" s="1"/>
  <c r="H62" i="11"/>
  <c r="F55" i="14" s="1"/>
  <c r="L62" i="11"/>
  <c r="J55" i="14" s="1"/>
  <c r="K67" i="11"/>
  <c r="K62" i="11"/>
  <c r="H52" i="11"/>
  <c r="F45" i="14" s="1"/>
  <c r="O53" i="11"/>
  <c r="M46" i="14" s="1"/>
  <c r="J52" i="11"/>
  <c r="H45" i="14" s="1"/>
  <c r="G50" i="11"/>
  <c r="E43" i="14" s="1"/>
  <c r="J62" i="11"/>
  <c r="H55" i="14" s="1"/>
  <c r="P50" i="11"/>
  <c r="N43" i="14" s="1"/>
  <c r="K64" i="11"/>
  <c r="F50" i="11"/>
  <c r="D43" i="14" s="1"/>
  <c r="F62" i="11"/>
  <c r="D55" i="14" s="1"/>
  <c r="O67" i="11"/>
  <c r="M60" i="14" s="1"/>
  <c r="O62" i="11"/>
  <c r="M55" i="14" s="1"/>
  <c r="M52" i="11"/>
  <c r="K45" i="14" s="1"/>
  <c r="G51" i="11"/>
  <c r="E44" i="14" s="1"/>
  <c r="N58" i="11"/>
  <c r="L51" i="14" s="1"/>
  <c r="P64" i="11"/>
  <c r="N57" i="14" s="1"/>
  <c r="J64" i="11"/>
  <c r="H57" i="14" s="1"/>
  <c r="P65" i="11"/>
  <c r="N58" i="14" s="1"/>
  <c r="J61" i="11"/>
  <c r="H54" i="14" s="1"/>
  <c r="P54" i="11"/>
  <c r="N47" i="14" s="1"/>
  <c r="G52" i="11"/>
  <c r="E45" i="14" s="1"/>
  <c r="M62" i="11"/>
  <c r="K55" i="14" s="1"/>
  <c r="G62" i="11"/>
  <c r="E55" i="14" s="1"/>
  <c r="L64" i="11"/>
  <c r="J57" i="14" s="1"/>
  <c r="Q64" i="11"/>
  <c r="F64" i="11"/>
  <c r="D57" i="14" s="1"/>
  <c r="J65" i="11"/>
  <c r="H58" i="14" s="1"/>
  <c r="F54" i="11"/>
  <c r="D47" i="14" s="1"/>
  <c r="K52" i="11"/>
  <c r="F63" i="11"/>
  <c r="D56" i="14" s="1"/>
  <c r="H64" i="11"/>
  <c r="F57" i="14" s="1"/>
  <c r="M64" i="11"/>
  <c r="K57" i="14" s="1"/>
  <c r="G65" i="11"/>
  <c r="E58" i="14" s="1"/>
  <c r="L54" i="11"/>
  <c r="J47" i="14" s="1"/>
  <c r="O52" i="11"/>
  <c r="M45" i="14" s="1"/>
  <c r="F47" i="11"/>
  <c r="D40" i="14" s="1"/>
  <c r="Q62" i="11"/>
  <c r="I64" i="11"/>
  <c r="G57" i="14" s="1"/>
  <c r="N64" i="11"/>
  <c r="L57" i="14" s="1"/>
  <c r="K65" i="11"/>
  <c r="I58" i="14" s="1"/>
  <c r="P58" i="14" s="1"/>
  <c r="Q54" i="11"/>
  <c r="I54" i="11"/>
  <c r="G47" i="14" s="1"/>
  <c r="H69" i="11"/>
  <c r="J48" i="11"/>
  <c r="H41" i="14" s="1"/>
  <c r="M70" i="11"/>
  <c r="O48" i="11"/>
  <c r="M41" i="14" s="1"/>
  <c r="I70" i="11"/>
  <c r="H23" i="11"/>
  <c r="F23" i="14" s="1"/>
  <c r="H21" i="11"/>
  <c r="F21" i="14" s="1"/>
  <c r="N54" i="11"/>
  <c r="L47" i="14" s="1"/>
  <c r="I65" i="11"/>
  <c r="G58" i="14" s="1"/>
  <c r="O70" i="11"/>
  <c r="M48" i="11"/>
  <c r="K41" i="14" s="1"/>
  <c r="J69" i="11"/>
  <c r="L23" i="11"/>
  <c r="J23" i="14" s="1"/>
  <c r="L21" i="11"/>
  <c r="J21" i="14" s="1"/>
  <c r="J70" i="11"/>
  <c r="F69" i="11"/>
  <c r="P23" i="11"/>
  <c r="N23" i="14" s="1"/>
  <c r="P21" i="11"/>
  <c r="N21" i="14" s="1"/>
  <c r="K69" i="11"/>
  <c r="P70" i="11"/>
  <c r="K21" i="11"/>
  <c r="Q48" i="11"/>
  <c r="L70" i="11"/>
  <c r="Q24" i="11"/>
  <c r="O24" i="11"/>
  <c r="M24" i="14" s="1"/>
  <c r="M24" i="11"/>
  <c r="K24" i="14" s="1"/>
  <c r="N46" i="11"/>
  <c r="L39" i="14" s="1"/>
  <c r="H70" i="11"/>
  <c r="I59" i="11"/>
  <c r="G52" i="14" s="1"/>
  <c r="I24" i="11"/>
  <c r="G24" i="14" s="1"/>
  <c r="G24" i="11"/>
  <c r="E24" i="14" s="1"/>
  <c r="F24" i="11"/>
  <c r="D24" i="14" s="1"/>
  <c r="F70" i="11"/>
  <c r="M69" i="11"/>
  <c r="I23" i="11"/>
  <c r="G23" i="14" s="1"/>
  <c r="G23" i="11"/>
  <c r="E23" i="14" s="1"/>
  <c r="N24" i="11"/>
  <c r="L24" i="14" s="1"/>
  <c r="K23" i="11"/>
  <c r="Q70" i="11"/>
  <c r="I48" i="11"/>
  <c r="G41" i="14" s="1"/>
  <c r="P48" i="11"/>
  <c r="N41" i="14" s="1"/>
  <c r="G48" i="11"/>
  <c r="E41" i="14" s="1"/>
  <c r="Q21" i="11"/>
  <c r="O21" i="11"/>
  <c r="M21" i="14" s="1"/>
  <c r="O69" i="11"/>
  <c r="J47" i="11"/>
  <c r="H40" i="14" s="1"/>
  <c r="K48" i="11"/>
  <c r="G70" i="11"/>
  <c r="J59" i="11"/>
  <c r="H52" i="14" s="1"/>
  <c r="G59" i="11"/>
  <c r="E52" i="14" s="1"/>
  <c r="H48" i="11"/>
  <c r="F41" i="14" s="1"/>
  <c r="I21" i="11"/>
  <c r="G21" i="14" s="1"/>
  <c r="G21" i="11"/>
  <c r="E21" i="14" s="1"/>
  <c r="M23" i="11"/>
  <c r="K23" i="14" s="1"/>
  <c r="M21" i="11"/>
  <c r="K21" i="14" s="1"/>
  <c r="J46" i="11"/>
  <c r="H39" i="14" s="1"/>
  <c r="N70" i="11"/>
  <c r="F48" i="11"/>
  <c r="D41" i="14" s="1"/>
  <c r="P69" i="11"/>
  <c r="F23" i="11"/>
  <c r="D23" i="14" s="1"/>
  <c r="F21" i="11"/>
  <c r="D21" i="14" s="1"/>
  <c r="L48" i="11"/>
  <c r="J41" i="14" s="1"/>
  <c r="L69" i="11"/>
  <c r="J23" i="11"/>
  <c r="H23" i="14" s="1"/>
  <c r="J21" i="11"/>
  <c r="H21" i="14" s="1"/>
  <c r="E29" i="12"/>
  <c r="E30" i="12" s="1"/>
  <c r="E31" i="12" s="1"/>
  <c r="K29" i="12"/>
  <c r="K30" i="12" s="1"/>
  <c r="K31" i="12" s="1"/>
  <c r="J55" i="11"/>
  <c r="H48" i="14" s="1"/>
  <c r="F55" i="11"/>
  <c r="D48" i="14" s="1"/>
  <c r="M66" i="11"/>
  <c r="K59" i="14" s="1"/>
  <c r="L66" i="11"/>
  <c r="J59" i="14" s="1"/>
  <c r="P66" i="11"/>
  <c r="N59" i="14" s="1"/>
  <c r="K66" i="11"/>
  <c r="G61" i="11"/>
  <c r="E54" i="14" s="1"/>
  <c r="P59" i="11"/>
  <c r="N52" i="14" s="1"/>
  <c r="Q59" i="11"/>
  <c r="O55" i="11"/>
  <c r="M48" i="14" s="1"/>
  <c r="G53" i="11"/>
  <c r="E46" i="14" s="1"/>
  <c r="P51" i="11"/>
  <c r="N44" i="14" s="1"/>
  <c r="Q51" i="11"/>
  <c r="N66" i="11"/>
  <c r="L59" i="14" s="1"/>
  <c r="G55" i="11"/>
  <c r="E48" i="14" s="1"/>
  <c r="I55" i="11"/>
  <c r="G48" i="14" s="1"/>
  <c r="N55" i="11"/>
  <c r="L48" i="14" s="1"/>
  <c r="H66" i="11"/>
  <c r="F59" i="14" s="1"/>
  <c r="F66" i="11"/>
  <c r="D59" i="14" s="1"/>
  <c r="J66" i="11"/>
  <c r="H59" i="14" s="1"/>
  <c r="O66" i="11"/>
  <c r="M59" i="14" s="1"/>
  <c r="J53" i="11"/>
  <c r="H46" i="14" s="1"/>
  <c r="J51" i="11"/>
  <c r="H44" i="14" s="1"/>
  <c r="I53" i="11"/>
  <c r="G46" i="14" s="1"/>
  <c r="P61" i="11"/>
  <c r="N54" i="14" s="1"/>
  <c r="Q61" i="11"/>
  <c r="F59" i="11"/>
  <c r="D52" i="14" s="1"/>
  <c r="H59" i="11"/>
  <c r="F52" i="14" s="1"/>
  <c r="K59" i="11"/>
  <c r="P53" i="11"/>
  <c r="N46" i="14" s="1"/>
  <c r="Q53" i="11"/>
  <c r="F51" i="11"/>
  <c r="D44" i="14" s="1"/>
  <c r="H51" i="11"/>
  <c r="F44" i="14" s="1"/>
  <c r="K51" i="11"/>
  <c r="I62" i="11"/>
  <c r="G55" i="14" s="1"/>
  <c r="P55" i="11"/>
  <c r="N48" i="14" s="1"/>
  <c r="K55" i="11"/>
  <c r="G66" i="11"/>
  <c r="E59" i="14" s="1"/>
  <c r="I61" i="11"/>
  <c r="G54" i="14" s="1"/>
  <c r="I51" i="11"/>
  <c r="G44" i="14" s="1"/>
  <c r="F61" i="11"/>
  <c r="D54" i="14" s="1"/>
  <c r="H61" i="11"/>
  <c r="F54" i="14" s="1"/>
  <c r="K61" i="11"/>
  <c r="L59" i="11"/>
  <c r="J52" i="14" s="1"/>
  <c r="M59" i="11"/>
  <c r="K52" i="14" s="1"/>
  <c r="O59" i="11"/>
  <c r="M52" i="14" s="1"/>
  <c r="F53" i="11"/>
  <c r="D46" i="14" s="1"/>
  <c r="H53" i="11"/>
  <c r="F46" i="14" s="1"/>
  <c r="K53" i="11"/>
  <c r="L51" i="11"/>
  <c r="J44" i="14" s="1"/>
  <c r="M51" i="11"/>
  <c r="K44" i="14" s="1"/>
  <c r="O51" i="11"/>
  <c r="M44" i="14" s="1"/>
  <c r="F10" i="11"/>
  <c r="D10" i="14" s="1"/>
  <c r="F17" i="11"/>
  <c r="D17" i="14" s="1"/>
  <c r="J9" i="11"/>
  <c r="H9" i="14" s="1"/>
  <c r="F20" i="11"/>
  <c r="D20" i="14" s="1"/>
  <c r="K20" i="11"/>
  <c r="G20" i="11"/>
  <c r="E20" i="14" s="1"/>
  <c r="S31" i="11"/>
  <c r="M20" i="11"/>
  <c r="K20" i="14" s="1"/>
  <c r="I20" i="11"/>
  <c r="G20" i="14" s="1"/>
  <c r="D29" i="12"/>
  <c r="D30" i="12" s="1"/>
  <c r="D31" i="12" s="1"/>
  <c r="R36" i="12"/>
  <c r="R34" i="12"/>
  <c r="H29" i="12"/>
  <c r="H30" i="12" s="1"/>
  <c r="H31" i="12" s="1"/>
  <c r="F29" i="12"/>
  <c r="F30" i="12" s="1"/>
  <c r="F31" i="12" s="1"/>
  <c r="I29" i="12"/>
  <c r="I30" i="12" s="1"/>
  <c r="I31" i="12" s="1"/>
  <c r="C29" i="12"/>
  <c r="C30" i="12" s="1"/>
  <c r="C31" i="12" s="1"/>
  <c r="J29" i="12"/>
  <c r="J30" i="12" s="1"/>
  <c r="J31" i="12" s="1"/>
  <c r="M29" i="12"/>
  <c r="M30" i="12" s="1"/>
  <c r="M31" i="12" s="1"/>
  <c r="G29" i="12"/>
  <c r="G30" i="12" s="1"/>
  <c r="G31" i="12" s="1"/>
  <c r="N29" i="12"/>
  <c r="N30" i="12" s="1"/>
  <c r="N31" i="12" s="1"/>
  <c r="B29" i="12"/>
  <c r="B30" i="12" s="1"/>
  <c r="A22" i="12" s="1"/>
  <c r="I50" i="14" l="1"/>
  <c r="S50" i="11"/>
  <c r="O51" i="14"/>
  <c r="R25" i="11"/>
  <c r="I25" i="14"/>
  <c r="S29" i="11"/>
  <c r="O29" i="14"/>
  <c r="R28" i="11"/>
  <c r="I28" i="14"/>
  <c r="P28" i="14" s="1"/>
  <c r="B18" i="13"/>
  <c r="C18" i="13" s="1"/>
  <c r="D18" i="13" s="1"/>
  <c r="P23" i="14"/>
  <c r="Q23" i="14"/>
  <c r="Q14" i="14"/>
  <c r="P14" i="14"/>
  <c r="P25" i="14"/>
  <c r="S25" i="11"/>
  <c r="O25" i="14"/>
  <c r="Q25" i="14" s="1"/>
  <c r="Q22" i="14"/>
  <c r="P24" i="14"/>
  <c r="Q24" i="14"/>
  <c r="S26" i="11"/>
  <c r="O26" i="14"/>
  <c r="R13" i="11"/>
  <c r="I13" i="14"/>
  <c r="P13" i="14" s="1"/>
  <c r="P11" i="14"/>
  <c r="P26" i="14"/>
  <c r="P29" i="14"/>
  <c r="R20" i="11"/>
  <c r="I20" i="14"/>
  <c r="S18" i="11"/>
  <c r="O18" i="14"/>
  <c r="Q18" i="14" s="1"/>
  <c r="R10" i="11"/>
  <c r="I10" i="14"/>
  <c r="P10" i="14" s="1"/>
  <c r="Q12" i="14"/>
  <c r="S15" i="11"/>
  <c r="O15" i="14"/>
  <c r="Q15" i="14" s="1"/>
  <c r="Q29" i="14"/>
  <c r="R21" i="11"/>
  <c r="I21" i="14"/>
  <c r="P21" i="14" s="1"/>
  <c r="Q26" i="14"/>
  <c r="S19" i="11"/>
  <c r="O19" i="14"/>
  <c r="S20" i="11"/>
  <c r="O20" i="14"/>
  <c r="R19" i="11"/>
  <c r="I19" i="14"/>
  <c r="P19" i="14" s="1"/>
  <c r="R17" i="11"/>
  <c r="I17" i="14"/>
  <c r="P17" i="14" s="1"/>
  <c r="R16" i="11"/>
  <c r="I16" i="14"/>
  <c r="P16" i="14" s="1"/>
  <c r="R23" i="11"/>
  <c r="I23" i="14"/>
  <c r="S11" i="11"/>
  <c r="O11" i="14"/>
  <c r="Q11" i="14" s="1"/>
  <c r="S13" i="11"/>
  <c r="O13" i="14"/>
  <c r="Q13" i="14" s="1"/>
  <c r="Q19" i="14"/>
  <c r="S14" i="11"/>
  <c r="O14" i="14"/>
  <c r="Q27" i="14"/>
  <c r="D17" i="13"/>
  <c r="S22" i="11"/>
  <c r="O22" i="14"/>
  <c r="R15" i="11"/>
  <c r="I15" i="14"/>
  <c r="P15" i="14" s="1"/>
  <c r="R11" i="11"/>
  <c r="I11" i="14"/>
  <c r="S17" i="11"/>
  <c r="O17" i="14"/>
  <c r="Q17" i="14" s="1"/>
  <c r="R18" i="11"/>
  <c r="I18" i="14"/>
  <c r="P18" i="14" s="1"/>
  <c r="R22" i="11"/>
  <c r="I22" i="14"/>
  <c r="P22" i="14" s="1"/>
  <c r="Q28" i="14"/>
  <c r="S21" i="11"/>
  <c r="O21" i="14"/>
  <c r="Q21" i="14" s="1"/>
  <c r="S24" i="11"/>
  <c r="O24" i="14"/>
  <c r="S10" i="11"/>
  <c r="O10" i="14"/>
  <c r="Q10" i="14" s="1"/>
  <c r="S16" i="11"/>
  <c r="O16" i="14"/>
  <c r="Q16" i="14" s="1"/>
  <c r="P20" i="14"/>
  <c r="Q20" i="14"/>
  <c r="R12" i="11"/>
  <c r="I12" i="14"/>
  <c r="P12" i="14" s="1"/>
  <c r="S28" i="11"/>
  <c r="O28" i="14"/>
  <c r="B19" i="13"/>
  <c r="S63" i="11"/>
  <c r="O56" i="14"/>
  <c r="Q56" i="14" s="1"/>
  <c r="R63" i="11"/>
  <c r="I56" i="14"/>
  <c r="P56" i="14" s="1"/>
  <c r="P60" i="14"/>
  <c r="R61" i="11"/>
  <c r="I54" i="14"/>
  <c r="P54" i="14" s="1"/>
  <c r="R47" i="11"/>
  <c r="I40" i="14"/>
  <c r="P40" i="14" s="1"/>
  <c r="R48" i="11"/>
  <c r="I41" i="14"/>
  <c r="P41" i="14" s="1"/>
  <c r="S54" i="11"/>
  <c r="O47" i="14"/>
  <c r="Q47" i="14" s="1"/>
  <c r="S60" i="11"/>
  <c r="O53" i="14"/>
  <c r="Q53" i="14" s="1"/>
  <c r="R46" i="11"/>
  <c r="I39" i="14"/>
  <c r="P39" i="14" s="1"/>
  <c r="Q43" i="14"/>
  <c r="R66" i="11"/>
  <c r="I59" i="14"/>
  <c r="S56" i="11"/>
  <c r="O49" i="14"/>
  <c r="Q49" i="14" s="1"/>
  <c r="Q50" i="14"/>
  <c r="P50" i="14"/>
  <c r="S59" i="11"/>
  <c r="O52" i="14"/>
  <c r="Q52" i="14" s="1"/>
  <c r="R54" i="11"/>
  <c r="I47" i="14"/>
  <c r="P47" i="14"/>
  <c r="R60" i="11"/>
  <c r="I53" i="14"/>
  <c r="P53" i="14" s="1"/>
  <c r="S48" i="11"/>
  <c r="O41" i="14"/>
  <c r="Q41" i="14" s="1"/>
  <c r="R51" i="11"/>
  <c r="I44" i="14"/>
  <c r="P44" i="14" s="1"/>
  <c r="R67" i="11"/>
  <c r="I60" i="14"/>
  <c r="S49" i="11"/>
  <c r="O42" i="14"/>
  <c r="Q42" i="14" s="1"/>
  <c r="S55" i="11"/>
  <c r="O48" i="14"/>
  <c r="Q48" i="14" s="1"/>
  <c r="P46" i="14"/>
  <c r="R50" i="11"/>
  <c r="I43" i="14"/>
  <c r="P43" i="14" s="1"/>
  <c r="S47" i="11"/>
  <c r="O40" i="14"/>
  <c r="Q40" i="14" s="1"/>
  <c r="R62" i="11"/>
  <c r="I55" i="14"/>
  <c r="P55" i="14" s="1"/>
  <c r="R53" i="11"/>
  <c r="I46" i="14"/>
  <c r="S46" i="11"/>
  <c r="O39" i="14"/>
  <c r="Q39" i="14" s="1"/>
  <c r="R56" i="11"/>
  <c r="I49" i="14"/>
  <c r="P49" i="14" s="1"/>
  <c r="Q51" i="14"/>
  <c r="P51" i="14"/>
  <c r="R64" i="11"/>
  <c r="I57" i="14"/>
  <c r="P57" i="14" s="1"/>
  <c r="S62" i="11"/>
  <c r="O55" i="14"/>
  <c r="Q55" i="14" s="1"/>
  <c r="P59" i="14"/>
  <c r="Q54" i="14"/>
  <c r="S64" i="11"/>
  <c r="O57" i="14"/>
  <c r="Q57" i="14" s="1"/>
  <c r="R49" i="11"/>
  <c r="I42" i="14"/>
  <c r="P42" i="14" s="1"/>
  <c r="R52" i="11"/>
  <c r="I45" i="14"/>
  <c r="P45" i="14" s="1"/>
  <c r="S61" i="11"/>
  <c r="O54" i="14"/>
  <c r="R55" i="11"/>
  <c r="I48" i="14"/>
  <c r="P48" i="14" s="1"/>
  <c r="S53" i="11"/>
  <c r="O46" i="14"/>
  <c r="Q46" i="14" s="1"/>
  <c r="R59" i="11"/>
  <c r="I52" i="14"/>
  <c r="P52" i="14" s="1"/>
  <c r="S51" i="11"/>
  <c r="O44" i="14"/>
  <c r="Q44" i="14" s="1"/>
  <c r="S52" i="11"/>
  <c r="O45" i="14"/>
  <c r="S66" i="11"/>
  <c r="O59" i="14"/>
  <c r="Q59" i="14" s="1"/>
  <c r="S67" i="11"/>
  <c r="O60" i="14"/>
  <c r="Q60" i="14" s="1"/>
  <c r="Q45" i="14"/>
  <c r="R65" i="11"/>
  <c r="B10" i="13"/>
  <c r="C10" i="13" s="1"/>
  <c r="S65" i="11"/>
  <c r="B11" i="13"/>
  <c r="D9" i="13"/>
  <c r="B31" i="12"/>
  <c r="R37" i="12"/>
  <c r="R35" i="12"/>
  <c r="D10" i="13" l="1"/>
  <c r="R42" i="12"/>
  <c r="R39" i="12"/>
  <c r="Q15" i="9" s="1"/>
  <c r="R38" i="12"/>
  <c r="K15" i="9" s="1"/>
  <c r="G48" i="12"/>
  <c r="G42" i="12"/>
  <c r="F43" i="12"/>
  <c r="F48" i="12"/>
  <c r="F40" i="12"/>
  <c r="G45" i="12"/>
  <c r="G39" i="12"/>
  <c r="G46" i="12"/>
  <c r="F39" i="12"/>
  <c r="F45" i="12"/>
  <c r="G40" i="12"/>
  <c r="F37" i="12"/>
  <c r="F41" i="12"/>
  <c r="G41" i="12"/>
  <c r="G47" i="12"/>
  <c r="G43" i="12"/>
  <c r="G37" i="12"/>
  <c r="F42" i="12"/>
  <c r="F47" i="12"/>
  <c r="F46" i="12"/>
  <c r="G44" i="12"/>
  <c r="A24" i="12"/>
  <c r="A23" i="12"/>
  <c r="C23" i="12" s="1"/>
  <c r="R43" i="12" l="1"/>
  <c r="R44" i="12" s="1"/>
  <c r="S42" i="12"/>
  <c r="T42" i="12" l="1"/>
  <c r="S43" i="12"/>
  <c r="S44" i="12" s="1"/>
  <c r="T43" i="12" l="1"/>
  <c r="T44" i="12" s="1"/>
  <c r="U42" i="12"/>
  <c r="U43" i="12" l="1"/>
  <c r="U44" i="12" s="1"/>
  <c r="V42" i="12"/>
  <c r="W42" i="12" l="1"/>
  <c r="V43" i="12"/>
  <c r="V44" i="12" s="1"/>
  <c r="X42" i="12" l="1"/>
  <c r="W43" i="12"/>
  <c r="W44" i="12" s="1"/>
  <c r="S47" i="12" s="1"/>
  <c r="S50" i="12" l="1"/>
  <c r="S52" i="12"/>
  <c r="S49" i="12"/>
  <c r="S48" i="12"/>
  <c r="S51" i="12"/>
  <c r="Y42" i="12"/>
  <c r="X43" i="12"/>
  <c r="X44" i="12" s="1"/>
  <c r="Y43" i="12" l="1"/>
  <c r="Y44" i="12" s="1"/>
  <c r="Z42" i="12"/>
  <c r="Z43" i="12" l="1"/>
  <c r="Z44" i="12" s="1"/>
  <c r="AA42" i="12"/>
  <c r="AA43" i="12" l="1"/>
  <c r="AA44" i="12" s="1"/>
  <c r="AB42" i="12"/>
  <c r="AC42" i="12" l="1"/>
  <c r="AC43" i="12" s="1"/>
  <c r="AC44" i="12" s="1"/>
  <c r="AB43" i="12"/>
  <c r="AB44" i="12" s="1"/>
  <c r="V55" i="12" l="1"/>
  <c r="S53" i="12"/>
  <c r="AV2" i="11"/>
  <c r="V57" i="12"/>
  <c r="S57" i="12"/>
  <c r="V54" i="12"/>
  <c r="S55" i="12"/>
  <c r="V52" i="12"/>
  <c r="S54" i="12"/>
  <c r="V53" i="12"/>
  <c r="V58" i="12"/>
  <c r="S58" i="12"/>
  <c r="V47" i="12"/>
  <c r="V50" i="12"/>
  <c r="V48" i="12"/>
  <c r="V49" i="12"/>
  <c r="S56" i="12"/>
  <c r="V51" i="12"/>
  <c r="V56" i="12"/>
  <c r="AS2" i="11"/>
  <c r="AS3" i="11"/>
  <c r="AV3" i="11"/>
  <c r="AS1" i="11"/>
  <c r="AV1" i="11"/>
  <c r="AS4" i="11"/>
  <c r="AV4" i="11"/>
  <c r="V39" i="12" l="1"/>
  <c r="R15" i="9" s="1"/>
  <c r="V38" i="12"/>
  <c r="N15" i="9" l="1"/>
  <c r="C19" i="12" s="1"/>
  <c r="T15" i="9"/>
  <c r="E15" i="9" l="1"/>
  <c r="A59" i="11"/>
  <c r="A56" i="11"/>
  <c r="A51" i="11"/>
  <c r="A15" i="11"/>
  <c r="A46" i="11"/>
  <c r="A20" i="11"/>
  <c r="A50" i="11"/>
  <c r="A26" i="11"/>
  <c r="A63" i="11"/>
  <c r="A25" i="11"/>
  <c r="A24" i="11"/>
  <c r="A19" i="11"/>
  <c r="A53" i="11"/>
  <c r="A47" i="11"/>
  <c r="A65" i="11"/>
  <c r="A27" i="11"/>
  <c r="A29" i="11" l="1"/>
  <c r="A68" i="11"/>
  <c r="C18" i="12"/>
  <c r="A31" i="11"/>
  <c r="A48" i="11"/>
  <c r="A67" i="11"/>
  <c r="A54" i="11"/>
  <c r="A11" i="11"/>
  <c r="A18" i="11"/>
  <c r="A17" i="11"/>
  <c r="A12" i="11"/>
  <c r="A23" i="11"/>
  <c r="A55" i="11"/>
  <c r="A60" i="11"/>
  <c r="A28" i="11"/>
  <c r="A49" i="11"/>
  <c r="A66" i="11"/>
  <c r="A13" i="11"/>
  <c r="A16" i="11"/>
  <c r="A52" i="11"/>
  <c r="A61" i="11"/>
  <c r="A10" i="11"/>
  <c r="A62" i="11"/>
  <c r="A30" i="11"/>
  <c r="A21" i="11"/>
  <c r="A14" i="11"/>
  <c r="A22" i="11"/>
  <c r="A58" i="11"/>
  <c r="A57" i="11"/>
  <c r="A64" i="11"/>
  <c r="I12" i="9" l="1"/>
  <c r="E17" i="9"/>
  <c r="Q17" i="9"/>
  <c r="K17" i="9"/>
  <c r="K16" i="9"/>
  <c r="Q16" i="9"/>
  <c r="E16" i="9"/>
  <c r="E18" i="9" l="1"/>
  <c r="Q18" i="9"/>
  <c r="K1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　絢人</author>
  </authors>
  <commentList>
    <comment ref="M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西暦で入力可
yyyy/mm/dd</t>
        </r>
      </text>
    </comment>
    <comment ref="M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西暦で入力可
yyyy/mm/dd</t>
        </r>
      </text>
    </comment>
  </commentList>
</comments>
</file>

<file path=xl/sharedStrings.xml><?xml version="1.0" encoding="utf-8"?>
<sst xmlns="http://schemas.openxmlformats.org/spreadsheetml/2006/main" count="300" uniqueCount="146">
  <si>
    <t>標準報酬</t>
  </si>
  <si>
    <t>の等級</t>
  </si>
  <si>
    <t>　　任意継続掛金額早見表</t>
  </si>
  <si>
    <t>の月額</t>
  </si>
  <si>
    <t>報酬月額</t>
    <rPh sb="0" eb="2">
      <t>ホウシュウ</t>
    </rPh>
    <rPh sb="2" eb="3">
      <t>ゲツ</t>
    </rPh>
    <rPh sb="3" eb="4">
      <t>ガク</t>
    </rPh>
    <phoneticPr fontId="2"/>
  </si>
  <si>
    <t>前納掛金額表</t>
    <rPh sb="5" eb="6">
      <t>ヒョウ</t>
    </rPh>
    <phoneticPr fontId="2"/>
  </si>
  <si>
    <t>介護掛金</t>
    <rPh sb="0" eb="2">
      <t>カイゴ</t>
    </rPh>
    <rPh sb="2" eb="3">
      <t>カ</t>
    </rPh>
    <rPh sb="3" eb="4">
      <t>キン</t>
    </rPh>
    <phoneticPr fontId="2"/>
  </si>
  <si>
    <t>　　介護継続掛金額早見表</t>
    <rPh sb="2" eb="4">
      <t>カイゴ</t>
    </rPh>
    <phoneticPr fontId="2"/>
  </si>
  <si>
    <t>月</t>
  </si>
  <si>
    <t>月</t>
    <rPh sb="0" eb="1">
      <t>ガツ</t>
    </rPh>
    <phoneticPr fontId="2"/>
  </si>
  <si>
    <t>基準</t>
    <rPh sb="0" eb="2">
      <t>キジュン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</si>
  <si>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</si>
  <si>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報酬月額</t>
    <rPh sb="0" eb="2">
      <t>ホウシュウ</t>
    </rPh>
    <rPh sb="2" eb="4">
      <t>ゲツガク</t>
    </rPh>
    <phoneticPr fontId="2"/>
  </si>
  <si>
    <t>第１級</t>
    <rPh sb="0" eb="1">
      <t>ダイ</t>
    </rPh>
    <rPh sb="2" eb="3">
      <t>キュウ</t>
    </rPh>
    <phoneticPr fontId="2"/>
  </si>
  <si>
    <t>円未満</t>
    <rPh sb="0" eb="1">
      <t>エン</t>
    </rPh>
    <rPh sb="1" eb="3">
      <t>ミマン</t>
    </rPh>
    <phoneticPr fontId="2"/>
  </si>
  <si>
    <t>第２級</t>
    <rPh sb="0" eb="1">
      <t>ダイ</t>
    </rPh>
    <rPh sb="2" eb="3">
      <t>キュウ</t>
    </rPh>
    <phoneticPr fontId="2"/>
  </si>
  <si>
    <t>円以上</t>
    <rPh sb="0" eb="1">
      <t>エン</t>
    </rPh>
    <rPh sb="1" eb="3">
      <t>イジョウ</t>
    </rPh>
    <phoneticPr fontId="2"/>
  </si>
  <si>
    <t>第３級</t>
    <rPh sb="0" eb="1">
      <t>ダイ</t>
    </rPh>
    <rPh sb="2" eb="3">
      <t>キュウ</t>
    </rPh>
    <phoneticPr fontId="2"/>
  </si>
  <si>
    <t>第４級</t>
    <rPh sb="0" eb="1">
      <t>ダイ</t>
    </rPh>
    <rPh sb="2" eb="3">
      <t>キュウ</t>
    </rPh>
    <phoneticPr fontId="2"/>
  </si>
  <si>
    <t>第５級</t>
    <rPh sb="0" eb="1">
      <t>ダイ</t>
    </rPh>
    <rPh sb="2" eb="3">
      <t>キュウ</t>
    </rPh>
    <phoneticPr fontId="2"/>
  </si>
  <si>
    <t>第６級</t>
    <rPh sb="0" eb="1">
      <t>ダイ</t>
    </rPh>
    <rPh sb="2" eb="3">
      <t>キュウ</t>
    </rPh>
    <phoneticPr fontId="2"/>
  </si>
  <si>
    <t>第７級</t>
    <rPh sb="0" eb="1">
      <t>ダイ</t>
    </rPh>
    <rPh sb="2" eb="3">
      <t>キュウ</t>
    </rPh>
    <phoneticPr fontId="2"/>
  </si>
  <si>
    <t>第８級</t>
    <rPh sb="0" eb="1">
      <t>ダイ</t>
    </rPh>
    <rPh sb="2" eb="3">
      <t>キュウ</t>
    </rPh>
    <phoneticPr fontId="2"/>
  </si>
  <si>
    <t>第９級</t>
    <rPh sb="0" eb="1">
      <t>ダイ</t>
    </rPh>
    <rPh sb="2" eb="3">
      <t>キュウ</t>
    </rPh>
    <phoneticPr fontId="2"/>
  </si>
  <si>
    <t>第１０級</t>
    <rPh sb="0" eb="1">
      <t>ダイ</t>
    </rPh>
    <rPh sb="3" eb="4">
      <t>キュウ</t>
    </rPh>
    <phoneticPr fontId="2"/>
  </si>
  <si>
    <t>第１１級</t>
    <rPh sb="0" eb="1">
      <t>ダイ</t>
    </rPh>
    <rPh sb="3" eb="4">
      <t>キュウ</t>
    </rPh>
    <phoneticPr fontId="2"/>
  </si>
  <si>
    <t>第１２級</t>
    <rPh sb="0" eb="1">
      <t>ダイ</t>
    </rPh>
    <rPh sb="3" eb="4">
      <t>キュウ</t>
    </rPh>
    <phoneticPr fontId="2"/>
  </si>
  <si>
    <t>第１３級</t>
    <rPh sb="0" eb="1">
      <t>ダイ</t>
    </rPh>
    <rPh sb="3" eb="4">
      <t>キュウ</t>
    </rPh>
    <phoneticPr fontId="2"/>
  </si>
  <si>
    <t>第１４級</t>
    <rPh sb="0" eb="1">
      <t>ダイ</t>
    </rPh>
    <rPh sb="3" eb="4">
      <t>キュウ</t>
    </rPh>
    <phoneticPr fontId="2"/>
  </si>
  <si>
    <t>第１５級</t>
    <rPh sb="0" eb="1">
      <t>ダイ</t>
    </rPh>
    <rPh sb="3" eb="4">
      <t>キュウ</t>
    </rPh>
    <phoneticPr fontId="2"/>
  </si>
  <si>
    <t>第１６級</t>
    <rPh sb="0" eb="1">
      <t>ダイ</t>
    </rPh>
    <rPh sb="3" eb="4">
      <t>キュウ</t>
    </rPh>
    <phoneticPr fontId="2"/>
  </si>
  <si>
    <t>第１７級</t>
    <rPh sb="0" eb="1">
      <t>ダイ</t>
    </rPh>
    <rPh sb="3" eb="4">
      <t>キュウ</t>
    </rPh>
    <phoneticPr fontId="2"/>
  </si>
  <si>
    <t>第１８級</t>
    <rPh sb="0" eb="1">
      <t>ダイ</t>
    </rPh>
    <rPh sb="3" eb="4">
      <t>キュウ</t>
    </rPh>
    <phoneticPr fontId="2"/>
  </si>
  <si>
    <t>第１９級</t>
    <rPh sb="0" eb="1">
      <t>ダイ</t>
    </rPh>
    <rPh sb="3" eb="4">
      <t>キュウ</t>
    </rPh>
    <phoneticPr fontId="2"/>
  </si>
  <si>
    <t>第２０級</t>
    <rPh sb="0" eb="1">
      <t>ダイ</t>
    </rPh>
    <rPh sb="3" eb="4">
      <t>キュウ</t>
    </rPh>
    <phoneticPr fontId="2"/>
  </si>
  <si>
    <t>第２１級</t>
    <rPh sb="0" eb="1">
      <t>ダイ</t>
    </rPh>
    <rPh sb="3" eb="4">
      <t>キュウ</t>
    </rPh>
    <phoneticPr fontId="2"/>
  </si>
  <si>
    <t>第２２級</t>
    <rPh sb="0" eb="1">
      <t>ダイ</t>
    </rPh>
    <rPh sb="3" eb="4">
      <t>キュウ</t>
    </rPh>
    <phoneticPr fontId="2"/>
  </si>
  <si>
    <t>第２３級</t>
    <rPh sb="0" eb="1">
      <t>ダイ</t>
    </rPh>
    <rPh sb="3" eb="4">
      <t>キュウ</t>
    </rPh>
    <phoneticPr fontId="2"/>
  </si>
  <si>
    <t>第２４級</t>
    <rPh sb="0" eb="1">
      <t>ダイ</t>
    </rPh>
    <rPh sb="3" eb="4">
      <t>キュウ</t>
    </rPh>
    <phoneticPr fontId="2"/>
  </si>
  <si>
    <t>第２５級</t>
    <rPh sb="0" eb="1">
      <t>ダイ</t>
    </rPh>
    <rPh sb="3" eb="4">
      <t>キュウ</t>
    </rPh>
    <phoneticPr fontId="2"/>
  </si>
  <si>
    <t>第２６級</t>
    <rPh sb="0" eb="1">
      <t>ダイ</t>
    </rPh>
    <rPh sb="3" eb="4">
      <t>キュウ</t>
    </rPh>
    <phoneticPr fontId="2"/>
  </si>
  <si>
    <t>第２７級</t>
    <rPh sb="0" eb="1">
      <t>ダイ</t>
    </rPh>
    <rPh sb="3" eb="4">
      <t>キュウ</t>
    </rPh>
    <phoneticPr fontId="2"/>
  </si>
  <si>
    <t>第２８級</t>
    <rPh sb="0" eb="1">
      <t>ダイ</t>
    </rPh>
    <rPh sb="3" eb="4">
      <t>キュウ</t>
    </rPh>
    <phoneticPr fontId="2"/>
  </si>
  <si>
    <t>第２９級</t>
    <rPh sb="0" eb="1">
      <t>ダイ</t>
    </rPh>
    <rPh sb="3" eb="4">
      <t>キュウ</t>
    </rPh>
    <phoneticPr fontId="2"/>
  </si>
  <si>
    <t>第３０級</t>
    <rPh sb="0" eb="1">
      <t>ダイ</t>
    </rPh>
    <rPh sb="3" eb="4">
      <t>キュウ</t>
    </rPh>
    <phoneticPr fontId="2"/>
  </si>
  <si>
    <t>標準報酬等級表</t>
    <rPh sb="0" eb="2">
      <t>ヒョウジュン</t>
    </rPh>
    <rPh sb="2" eb="4">
      <t>ホウシュウ</t>
    </rPh>
    <rPh sb="4" eb="6">
      <t>トウキュウ</t>
    </rPh>
    <rPh sb="6" eb="7">
      <t>ヒョウ</t>
    </rPh>
    <phoneticPr fontId="2"/>
  </si>
  <si>
    <t>標準報酬</t>
    <rPh sb="0" eb="2">
      <t>ヒョウジュン</t>
    </rPh>
    <rPh sb="2" eb="4">
      <t>ホウシュウ</t>
    </rPh>
    <phoneticPr fontId="2"/>
  </si>
  <si>
    <t>半年払</t>
    <rPh sb="0" eb="2">
      <t>ハントシ</t>
    </rPh>
    <rPh sb="2" eb="3">
      <t>バラ</t>
    </rPh>
    <phoneticPr fontId="2"/>
  </si>
  <si>
    <t>年払い</t>
    <rPh sb="0" eb="2">
      <t>ネンバラ</t>
    </rPh>
    <phoneticPr fontId="2"/>
  </si>
  <si>
    <t>月</t>
    <phoneticPr fontId="2"/>
  </si>
  <si>
    <t>退職月</t>
    <rPh sb="0" eb="2">
      <t>タイショク</t>
    </rPh>
    <rPh sb="2" eb="3">
      <t>ツキ</t>
    </rPh>
    <phoneticPr fontId="2"/>
  </si>
  <si>
    <t>掛金合計</t>
    <rPh sb="0" eb="2">
      <t>カケキン</t>
    </rPh>
    <rPh sb="2" eb="4">
      <t>ゴウケイ</t>
    </rPh>
    <phoneticPr fontId="2"/>
  </si>
  <si>
    <t>　　　３．前納掛金額の１月欄は掛金を還付するときのみに使用する。</t>
    <phoneticPr fontId="2"/>
  </si>
  <si>
    <t>　　　２．前納金額は円未満四捨五入。</t>
    <phoneticPr fontId="2"/>
  </si>
  <si>
    <t>（注）１．介護継続掛金額（月額）は円未満切り捨て。</t>
    <rPh sb="5" eb="7">
      <t>カイゴ</t>
    </rPh>
    <phoneticPr fontId="2"/>
  </si>
  <si>
    <t>（注）１．任意継続掛金額（月額）は円未満切り捨て。</t>
    <phoneticPr fontId="2"/>
  </si>
  <si>
    <t>第３１級</t>
    <rPh sb="0" eb="1">
      <t>ダイ</t>
    </rPh>
    <rPh sb="3" eb="4">
      <t>キュウ</t>
    </rPh>
    <phoneticPr fontId="2"/>
  </si>
  <si>
    <t>第３２級</t>
    <rPh sb="0" eb="1">
      <t>ダイ</t>
    </rPh>
    <rPh sb="3" eb="4">
      <t>キュウ</t>
    </rPh>
    <phoneticPr fontId="2"/>
  </si>
  <si>
    <t>第３３級</t>
    <rPh sb="0" eb="1">
      <t>ダイ</t>
    </rPh>
    <rPh sb="3" eb="4">
      <t>キュウ</t>
    </rPh>
    <phoneticPr fontId="2"/>
  </si>
  <si>
    <t>第３４級</t>
    <rPh sb="0" eb="1">
      <t>ダイ</t>
    </rPh>
    <rPh sb="3" eb="4">
      <t>キュウ</t>
    </rPh>
    <phoneticPr fontId="2"/>
  </si>
  <si>
    <t>第３５級</t>
    <rPh sb="0" eb="1">
      <t>ダイ</t>
    </rPh>
    <rPh sb="3" eb="4">
      <t>キュウ</t>
    </rPh>
    <phoneticPr fontId="2"/>
  </si>
  <si>
    <t>第３６級</t>
    <rPh sb="0" eb="1">
      <t>ダイ</t>
    </rPh>
    <rPh sb="3" eb="4">
      <t>キュウ</t>
    </rPh>
    <phoneticPr fontId="2"/>
  </si>
  <si>
    <t>第３７級</t>
    <rPh sb="0" eb="1">
      <t>ダイ</t>
    </rPh>
    <rPh sb="3" eb="4">
      <t>キュウ</t>
    </rPh>
    <phoneticPr fontId="2"/>
  </si>
  <si>
    <t>第３８級</t>
    <rPh sb="0" eb="1">
      <t>ダイ</t>
    </rPh>
    <rPh sb="3" eb="4">
      <t>キュウ</t>
    </rPh>
    <phoneticPr fontId="2"/>
  </si>
  <si>
    <t>第３９級</t>
    <rPh sb="0" eb="1">
      <t>ダイ</t>
    </rPh>
    <rPh sb="3" eb="4">
      <t>キュウ</t>
    </rPh>
    <phoneticPr fontId="2"/>
  </si>
  <si>
    <t>第４０級</t>
    <rPh sb="0" eb="1">
      <t>ダイ</t>
    </rPh>
    <rPh sb="3" eb="4">
      <t>キュウ</t>
    </rPh>
    <phoneticPr fontId="2"/>
  </si>
  <si>
    <t>第４１級</t>
    <rPh sb="0" eb="1">
      <t>ダイ</t>
    </rPh>
    <rPh sb="3" eb="4">
      <t>キュウ</t>
    </rPh>
    <phoneticPr fontId="2"/>
  </si>
  <si>
    <t>第４２級</t>
    <rPh sb="0" eb="1">
      <t>ダイ</t>
    </rPh>
    <rPh sb="3" eb="4">
      <t>キュウ</t>
    </rPh>
    <phoneticPr fontId="2"/>
  </si>
  <si>
    <t>第４３級</t>
    <rPh sb="0" eb="1">
      <t>ダイ</t>
    </rPh>
    <rPh sb="3" eb="4">
      <t>キュウ</t>
    </rPh>
    <phoneticPr fontId="2"/>
  </si>
  <si>
    <t>※短期掛金・介護掛金適用。</t>
    <rPh sb="1" eb="3">
      <t>タンキ</t>
    </rPh>
    <rPh sb="3" eb="5">
      <t>カケキン</t>
    </rPh>
    <rPh sb="6" eb="8">
      <t>カイゴ</t>
    </rPh>
    <rPh sb="8" eb="10">
      <t>カケキン</t>
    </rPh>
    <rPh sb="10" eb="12">
      <t>テキヨウ</t>
    </rPh>
    <phoneticPr fontId="2"/>
  </si>
  <si>
    <t>任意継続掛金額（月額）</t>
    <rPh sb="5" eb="7">
      <t>キンガク</t>
    </rPh>
    <rPh sb="8" eb="10">
      <t>ゲツガク</t>
    </rPh>
    <phoneticPr fontId="2"/>
  </si>
  <si>
    <t>前納掛金額表（前納月数/減額率）</t>
    <rPh sb="5" eb="6">
      <t>ヒョウ</t>
    </rPh>
    <rPh sb="7" eb="9">
      <t>ゼンノウ</t>
    </rPh>
    <rPh sb="9" eb="10">
      <t>ツキ</t>
    </rPh>
    <rPh sb="10" eb="11">
      <t>スウ</t>
    </rPh>
    <rPh sb="12" eb="14">
      <t>ゲンガク</t>
    </rPh>
    <rPh sb="14" eb="15">
      <t>リツ</t>
    </rPh>
    <phoneticPr fontId="2"/>
  </si>
  <si>
    <t>/1000</t>
    <phoneticPr fontId="2"/>
  </si>
  <si>
    <t>　　　　　掛金率</t>
    <rPh sb="5" eb="7">
      <t>カケキン</t>
    </rPh>
    <rPh sb="7" eb="8">
      <t>リツ</t>
    </rPh>
    <phoneticPr fontId="2"/>
  </si>
  <si>
    <t>介護継続掛金額（月額）</t>
    <rPh sb="0" eb="2">
      <t>カイゴ</t>
    </rPh>
    <rPh sb="5" eb="6">
      <t>キン</t>
    </rPh>
    <rPh sb="6" eb="7">
      <t>ガク</t>
    </rPh>
    <rPh sb="8" eb="10">
      <t>ゲツガク</t>
    </rPh>
    <phoneticPr fontId="2"/>
  </si>
  <si>
    <t>前納した場合の得額</t>
    <rPh sb="0" eb="2">
      <t>ゼンノウ</t>
    </rPh>
    <rPh sb="4" eb="6">
      <t>バアイ</t>
    </rPh>
    <rPh sb="7" eb="8">
      <t>トク</t>
    </rPh>
    <rPh sb="8" eb="9">
      <t>ガク</t>
    </rPh>
    <phoneticPr fontId="2"/>
  </si>
  <si>
    <t>生年月日</t>
    <rPh sb="0" eb="2">
      <t>セイネン</t>
    </rPh>
    <rPh sb="2" eb="4">
      <t>ガッピ</t>
    </rPh>
    <phoneticPr fontId="2"/>
  </si>
  <si>
    <t>退職年月日</t>
    <rPh sb="0" eb="2">
      <t>タイショク</t>
    </rPh>
    <rPh sb="2" eb="5">
      <t>ネンガッピ</t>
    </rPh>
    <phoneticPr fontId="2"/>
  </si>
  <si>
    <t>喪失年月日</t>
    <rPh sb="0" eb="2">
      <t>ソウシツ</t>
    </rPh>
    <rPh sb="2" eb="5">
      <t>ネンガッピ</t>
    </rPh>
    <phoneticPr fontId="2"/>
  </si>
  <si>
    <t>喪失月</t>
    <rPh sb="0" eb="2">
      <t>ソウシツ</t>
    </rPh>
    <rPh sb="2" eb="3">
      <t>ツキ</t>
    </rPh>
    <phoneticPr fontId="2"/>
  </si>
  <si>
    <t>半年払いの月数</t>
    <rPh sb="0" eb="2">
      <t>ハントシ</t>
    </rPh>
    <rPh sb="2" eb="3">
      <t>バラ</t>
    </rPh>
    <rPh sb="5" eb="7">
      <t>ツキスウ</t>
    </rPh>
    <phoneticPr fontId="2"/>
  </si>
  <si>
    <t>年払いの月数</t>
    <rPh sb="0" eb="2">
      <t>ネンバラ</t>
    </rPh>
    <phoneticPr fontId="2"/>
  </si>
  <si>
    <t>9月以前か</t>
    <rPh sb="1" eb="2">
      <t>ガツ</t>
    </rPh>
    <rPh sb="2" eb="4">
      <t>イゼン</t>
    </rPh>
    <phoneticPr fontId="2"/>
  </si>
  <si>
    <t>該当年の9月</t>
    <rPh sb="0" eb="2">
      <t>ガイトウ</t>
    </rPh>
    <rPh sb="2" eb="3">
      <t>ネン</t>
    </rPh>
    <rPh sb="5" eb="6">
      <t>ガツ</t>
    </rPh>
    <phoneticPr fontId="2"/>
  </si>
  <si>
    <t>該当月</t>
    <rPh sb="0" eb="2">
      <t>ガイトウ</t>
    </rPh>
    <rPh sb="2" eb="3">
      <t>ツキ</t>
    </rPh>
    <phoneticPr fontId="2"/>
  </si>
  <si>
    <t>月末時点の年齢</t>
    <rPh sb="0" eb="2">
      <t>ゲツマツ</t>
    </rPh>
    <rPh sb="2" eb="4">
      <t>ジテン</t>
    </rPh>
    <rPh sb="5" eb="7">
      <t>ネンレイ</t>
    </rPh>
    <phoneticPr fontId="2"/>
  </si>
  <si>
    <t>介護該当か</t>
    <rPh sb="0" eb="2">
      <t>カイゴ</t>
    </rPh>
    <rPh sb="2" eb="4">
      <t>ガイトウ</t>
    </rPh>
    <phoneticPr fontId="2"/>
  </si>
  <si>
    <t>喪失月</t>
    <rPh sb="0" eb="2">
      <t>ソウシツ</t>
    </rPh>
    <rPh sb="2" eb="3">
      <t>ヅキ</t>
    </rPh>
    <phoneticPr fontId="2"/>
  </si>
  <si>
    <t>半年払いで介護適用月数</t>
    <rPh sb="5" eb="7">
      <t>カイゴ</t>
    </rPh>
    <rPh sb="7" eb="9">
      <t>テキヨウ</t>
    </rPh>
    <rPh sb="9" eb="11">
      <t>ツキスウ</t>
    </rPh>
    <phoneticPr fontId="2"/>
  </si>
  <si>
    <t>年払いで介護適用月数</t>
    <rPh sb="0" eb="1">
      <t>ネン</t>
    </rPh>
    <rPh sb="4" eb="6">
      <t>カイゴ</t>
    </rPh>
    <rPh sb="6" eb="8">
      <t>テキヨウ</t>
    </rPh>
    <rPh sb="8" eb="10">
      <t>ツキスウ</t>
    </rPh>
    <phoneticPr fontId="2"/>
  </si>
  <si>
    <t>半年払いの介護適用月数</t>
    <rPh sb="5" eb="7">
      <t>カイゴ</t>
    </rPh>
    <rPh sb="7" eb="9">
      <t>テキヨウ</t>
    </rPh>
    <rPh sb="9" eb="11">
      <t>ツキスウ</t>
    </rPh>
    <phoneticPr fontId="2"/>
  </si>
  <si>
    <t>年払いの介護適用月数</t>
    <rPh sb="4" eb="6">
      <t>カイゴ</t>
    </rPh>
    <rPh sb="6" eb="8">
      <t>テキヨウ</t>
    </rPh>
    <rPh sb="8" eb="10">
      <t>ツキスウ</t>
    </rPh>
    <phoneticPr fontId="2"/>
  </si>
  <si>
    <t>3月以前か</t>
    <rPh sb="1" eb="2">
      <t>ガツ</t>
    </rPh>
    <rPh sb="2" eb="4">
      <t>イゼン</t>
    </rPh>
    <phoneticPr fontId="2"/>
  </si>
  <si>
    <t>③</t>
    <phoneticPr fontId="2"/>
  </si>
  <si>
    <t>①</t>
    <phoneticPr fontId="2"/>
  </si>
  <si>
    <t>②</t>
    <phoneticPr fontId="2"/>
  </si>
  <si>
    <t>生年月日を入力してください</t>
    <phoneticPr fontId="2"/>
  </si>
  <si>
    <t>①　月払い</t>
    <rPh sb="2" eb="3">
      <t>ツキ</t>
    </rPh>
    <rPh sb="3" eb="4">
      <t>ハラ</t>
    </rPh>
    <phoneticPr fontId="2"/>
  </si>
  <si>
    <t>②　半年払い</t>
    <rPh sb="2" eb="4">
      <t>ハントシ</t>
    </rPh>
    <rPh sb="4" eb="5">
      <t>バラ</t>
    </rPh>
    <phoneticPr fontId="2"/>
  </si>
  <si>
    <t>③　年払い</t>
    <rPh sb="2" eb="4">
      <t>ネンバラ</t>
    </rPh>
    <phoneticPr fontId="2"/>
  </si>
  <si>
    <t>初回の任意継続掛金額（簡易試算結果）</t>
    <rPh sb="0" eb="2">
      <t>ショカイ</t>
    </rPh>
    <rPh sb="3" eb="5">
      <t>ニンイ</t>
    </rPh>
    <rPh sb="5" eb="7">
      <t>ケイゾク</t>
    </rPh>
    <rPh sb="7" eb="9">
      <t>カケキン</t>
    </rPh>
    <rPh sb="9" eb="10">
      <t>ガク</t>
    </rPh>
    <rPh sb="11" eb="13">
      <t>カンイ</t>
    </rPh>
    <rPh sb="13" eb="15">
      <t>シサン</t>
    </rPh>
    <rPh sb="15" eb="17">
      <t>ケッカ</t>
    </rPh>
    <phoneticPr fontId="2"/>
  </si>
  <si>
    <t>短期掛金</t>
    <rPh sb="0" eb="2">
      <t>タンキ</t>
    </rPh>
    <rPh sb="2" eb="4">
      <t>カケガネ</t>
    </rPh>
    <phoneticPr fontId="2"/>
  </si>
  <si>
    <t>Ｑ１　退職（予定）月はいつですか？</t>
    <rPh sb="3" eb="5">
      <t>タイショク</t>
    </rPh>
    <rPh sb="6" eb="8">
      <t>ヨテイ</t>
    </rPh>
    <rPh sb="9" eb="10">
      <t>ツキ</t>
    </rPh>
    <phoneticPr fontId="2"/>
  </si>
  <si>
    <t>令和４．１０～</t>
    <rPh sb="0" eb="2">
      <t>レイワ</t>
    </rPh>
    <phoneticPr fontId="2"/>
  </si>
  <si>
    <t>第４４級</t>
    <rPh sb="0" eb="1">
      <t>ダイ</t>
    </rPh>
    <rPh sb="3" eb="4">
      <t>キュウ</t>
    </rPh>
    <phoneticPr fontId="2"/>
  </si>
  <si>
    <t>第４５級</t>
    <rPh sb="0" eb="1">
      <t>ダイ</t>
    </rPh>
    <rPh sb="3" eb="4">
      <t>キュウ</t>
    </rPh>
    <phoneticPr fontId="2"/>
  </si>
  <si>
    <t>第４６級</t>
    <rPh sb="0" eb="1">
      <t>ダイ</t>
    </rPh>
    <rPh sb="3" eb="4">
      <t>キュウ</t>
    </rPh>
    <phoneticPr fontId="2"/>
  </si>
  <si>
    <t>第４７級</t>
    <rPh sb="0" eb="1">
      <t>ダイ</t>
    </rPh>
    <rPh sb="3" eb="4">
      <t>キュウ</t>
    </rPh>
    <phoneticPr fontId="2"/>
  </si>
  <si>
    <t>第４８級</t>
    <rPh sb="0" eb="1">
      <t>ダイ</t>
    </rPh>
    <rPh sb="3" eb="4">
      <t>キュウ</t>
    </rPh>
    <phoneticPr fontId="2"/>
  </si>
  <si>
    <t>第４９級</t>
    <rPh sb="0" eb="1">
      <t>ダイ</t>
    </rPh>
    <rPh sb="3" eb="4">
      <t>キュウ</t>
    </rPh>
    <phoneticPr fontId="2"/>
  </si>
  <si>
    <t>第５０級</t>
    <rPh sb="0" eb="1">
      <t>ダイ</t>
    </rPh>
    <rPh sb="3" eb="4">
      <t>キュウ</t>
    </rPh>
    <phoneticPr fontId="2"/>
  </si>
  <si>
    <t>払込方法</t>
    <rPh sb="0" eb="2">
      <t>ハライコミ</t>
    </rPh>
    <rPh sb="2" eb="4">
      <t>ホウホウ</t>
    </rPh>
    <phoneticPr fontId="14"/>
  </si>
  <si>
    <t>１回あたりの</t>
    <rPh sb="1" eb="2">
      <t>カイ</t>
    </rPh>
    <phoneticPr fontId="14"/>
  </si>
  <si>
    <t>年間の</t>
    <rPh sb="0" eb="2">
      <t>ネンカン</t>
    </rPh>
    <phoneticPr fontId="14"/>
  </si>
  <si>
    <t>年払いとの</t>
    <rPh sb="0" eb="2">
      <t>ネンバラ</t>
    </rPh>
    <phoneticPr fontId="14"/>
  </si>
  <si>
    <t>掛金額</t>
    <rPh sb="0" eb="1">
      <t>カ</t>
    </rPh>
    <rPh sb="1" eb="2">
      <t>キン</t>
    </rPh>
    <rPh sb="2" eb="3">
      <t>ガク</t>
    </rPh>
    <phoneticPr fontId="14"/>
  </si>
  <si>
    <t>差額</t>
    <rPh sb="0" eb="2">
      <t>サガク</t>
    </rPh>
    <phoneticPr fontId="14"/>
  </si>
  <si>
    <t>月 払 い</t>
    <rPh sb="0" eb="1">
      <t>ツキ</t>
    </rPh>
    <rPh sb="2" eb="3">
      <t>ハラ</t>
    </rPh>
    <phoneticPr fontId="14"/>
  </si>
  <si>
    <t>半年払い</t>
    <rPh sb="0" eb="2">
      <t>ハントシ</t>
    </rPh>
    <rPh sb="2" eb="3">
      <t>バラ</t>
    </rPh>
    <phoneticPr fontId="14"/>
  </si>
  <si>
    <t>年 払 い</t>
    <rPh sb="0" eb="1">
      <t>ネン</t>
    </rPh>
    <rPh sb="2" eb="3">
      <t>フツ</t>
    </rPh>
    <phoneticPr fontId="14"/>
  </si>
  <si>
    <t>-</t>
    <phoneticPr fontId="14"/>
  </si>
  <si>
    <t>※　期間中に満40歳に到達、又は満65歳に到達した場合、多少の前後があります。</t>
    <rPh sb="2" eb="5">
      <t>キカンチュウ</t>
    </rPh>
    <rPh sb="6" eb="7">
      <t>マン</t>
    </rPh>
    <rPh sb="9" eb="10">
      <t>サイ</t>
    </rPh>
    <rPh sb="11" eb="13">
      <t>トウタツ</t>
    </rPh>
    <rPh sb="14" eb="15">
      <t>マタ</t>
    </rPh>
    <rPh sb="16" eb="17">
      <t>マン</t>
    </rPh>
    <rPh sb="19" eb="20">
      <t>サイ</t>
    </rPh>
    <rPh sb="21" eb="23">
      <t>トウタツ</t>
    </rPh>
    <rPh sb="25" eb="27">
      <t>バアイ</t>
    </rPh>
    <rPh sb="28" eb="30">
      <t>タショウ</t>
    </rPh>
    <rPh sb="31" eb="33">
      <t>ゼンゴ</t>
    </rPh>
    <phoneticPr fontId="14"/>
  </si>
  <si>
    <t>短期掛金のみ</t>
    <rPh sb="0" eb="2">
      <t>タンキ</t>
    </rPh>
    <rPh sb="2" eb="4">
      <t>カケキン</t>
    </rPh>
    <phoneticPr fontId="14"/>
  </si>
  <si>
    <t>令和６年度平均標準報酬</t>
    <rPh sb="0" eb="2">
      <t>レイワ</t>
    </rPh>
    <rPh sb="3" eb="5">
      <t>ネンド</t>
    </rPh>
    <rPh sb="5" eb="7">
      <t>ヘイキン</t>
    </rPh>
    <rPh sb="7" eb="9">
      <t>ヒョウジュン</t>
    </rPh>
    <rPh sb="9" eb="11">
      <t>ホウシュウ</t>
    </rPh>
    <phoneticPr fontId="2"/>
  </si>
  <si>
    <r>
      <t>　次の①～③の黄色セルに必要事項を入力してください。
　下部の</t>
    </r>
    <r>
      <rPr>
        <b/>
        <sz val="11"/>
        <color rgb="FF0066FF"/>
        <rFont val="ＭＳ Ｐゴシック"/>
        <family val="3"/>
        <charset val="128"/>
      </rPr>
      <t>「初回の任意継続掛金額(簡易試算結果）」</t>
    </r>
    <r>
      <rPr>
        <sz val="11"/>
        <rFont val="ＭＳ Ｐゴシック"/>
        <family val="3"/>
        <charset val="128"/>
      </rPr>
      <t>にあなたの試算結果が表示されます。</t>
    </r>
    <rPh sb="1" eb="2">
      <t>ツギ</t>
    </rPh>
    <rPh sb="28" eb="30">
      <t>カブ</t>
    </rPh>
    <phoneticPr fontId="2"/>
  </si>
  <si>
    <t>直近の給与明細の右面に記載されている標準報酬月額（予定）を入力してください</t>
    <rPh sb="0" eb="2">
      <t>チョッキン</t>
    </rPh>
    <rPh sb="3" eb="5">
      <t>キュウヨ</t>
    </rPh>
    <rPh sb="5" eb="7">
      <t>メイサイ</t>
    </rPh>
    <rPh sb="8" eb="9">
      <t>ミギ</t>
    </rPh>
    <rPh sb="9" eb="10">
      <t>メン</t>
    </rPh>
    <rPh sb="11" eb="13">
      <t>キサイ</t>
    </rPh>
    <rPh sb="25" eb="27">
      <t>ヨテイ</t>
    </rPh>
    <phoneticPr fontId="2"/>
  </si>
  <si>
    <t>退職（予定）日を入力してください</t>
    <rPh sb="3" eb="5">
      <t>ヨテイ</t>
    </rPh>
    <phoneticPr fontId="2"/>
  </si>
  <si>
    <t>退職時の標準報酬</t>
    <rPh sb="0" eb="2">
      <t>タイショク</t>
    </rPh>
    <rPh sb="2" eb="3">
      <t>ジ</t>
    </rPh>
    <rPh sb="4" eb="6">
      <t>ヒョウジュン</t>
    </rPh>
    <rPh sb="6" eb="8">
      <t>ホウシュウ</t>
    </rPh>
    <phoneticPr fontId="2"/>
  </si>
  <si>
    <t>短期掛金</t>
    <rPh sb="0" eb="2">
      <t>タンキ</t>
    </rPh>
    <rPh sb="2" eb="4">
      <t>カケキン</t>
    </rPh>
    <phoneticPr fontId="2"/>
  </si>
  <si>
    <t>月額</t>
    <rPh sb="0" eb="2">
      <t>ゲツガク</t>
    </rPh>
    <phoneticPr fontId="2"/>
  </si>
  <si>
    <t>前納月数</t>
    <rPh sb="0" eb="2">
      <t>ゼンノウ</t>
    </rPh>
    <rPh sb="2" eb="3">
      <t>ツキ</t>
    </rPh>
    <rPh sb="3" eb="4">
      <t>スウ</t>
    </rPh>
    <phoneticPr fontId="2"/>
  </si>
  <si>
    <t>介護掛金</t>
    <rPh sb="0" eb="2">
      <t>カイゴ</t>
    </rPh>
    <rPh sb="2" eb="4">
      <t>カケキン</t>
    </rPh>
    <phoneticPr fontId="2"/>
  </si>
  <si>
    <t>46.3/1000</t>
    <phoneticPr fontId="2"/>
  </si>
  <si>
    <t>R6年度</t>
    <rPh sb="2" eb="4">
      <t>ネンド</t>
    </rPh>
    <phoneticPr fontId="2"/>
  </si>
  <si>
    <t>令和６年度の任継掛金早見表</t>
    <rPh sb="0" eb="1">
      <t>レイ</t>
    </rPh>
    <rPh sb="1" eb="2">
      <t>ワ</t>
    </rPh>
    <rPh sb="3" eb="5">
      <t>ネンド</t>
    </rPh>
    <rPh sb="6" eb="8">
      <t>ニンケイ</t>
    </rPh>
    <rPh sb="8" eb="10">
      <t>カケキン</t>
    </rPh>
    <rPh sb="10" eb="12">
      <t>ハヤミ</t>
    </rPh>
    <rPh sb="12" eb="13">
      <t>ヒョウ</t>
    </rPh>
    <phoneticPr fontId="2"/>
  </si>
  <si>
    <t>短期掛金＋介護掛金（介護掛金の対象：満40歳～満64歳の期間）</t>
    <rPh sb="0" eb="2">
      <t>タンキ</t>
    </rPh>
    <rPh sb="2" eb="3">
      <t>カ</t>
    </rPh>
    <rPh sb="3" eb="4">
      <t>キン</t>
    </rPh>
    <rPh sb="5" eb="7">
      <t>カイゴ</t>
    </rPh>
    <rPh sb="7" eb="9">
      <t>カケキン</t>
    </rPh>
    <rPh sb="10" eb="12">
      <t>カイゴ</t>
    </rPh>
    <rPh sb="12" eb="14">
      <t>カケキン</t>
    </rPh>
    <rPh sb="15" eb="17">
      <t>タイショウ</t>
    </rPh>
    <rPh sb="18" eb="19">
      <t>マン</t>
    </rPh>
    <rPh sb="21" eb="22">
      <t>サイ</t>
    </rPh>
    <rPh sb="23" eb="24">
      <t>マン</t>
    </rPh>
    <rPh sb="26" eb="27">
      <t>サイ</t>
    </rPh>
    <rPh sb="28" eb="30">
      <t>キカン</t>
    </rPh>
    <phoneticPr fontId="14"/>
  </si>
  <si>
    <r>
      <rPr>
        <u/>
        <sz val="14"/>
        <color rgb="FFFF0000"/>
        <rFont val="Meiryo UI"/>
        <family val="3"/>
        <charset val="128"/>
      </rPr>
      <t>退職時の</t>
    </r>
    <r>
      <rPr>
        <u/>
        <sz val="14"/>
        <rFont val="Meiryo UI"/>
        <family val="3"/>
        <charset val="128"/>
      </rPr>
      <t>標準報酬月額が340,000円以上</t>
    </r>
    <r>
      <rPr>
        <sz val="14"/>
        <color theme="1"/>
        <rFont val="Meiryo UI"/>
        <family val="3"/>
        <charset val="128"/>
      </rPr>
      <t>の方は、一律、下表の掛金額です。</t>
    </r>
    <rPh sb="0" eb="2">
      <t>タイショク</t>
    </rPh>
    <rPh sb="2" eb="3">
      <t>ジ</t>
    </rPh>
    <rPh sb="22" eb="23">
      <t>カタ</t>
    </rPh>
    <rPh sb="25" eb="27">
      <t>イチリツ</t>
    </rPh>
    <rPh sb="28" eb="30">
      <t>カヒョウ</t>
    </rPh>
    <rPh sb="31" eb="33">
      <t>カケキン</t>
    </rPh>
    <rPh sb="33" eb="34">
      <t>ガク</t>
    </rPh>
    <phoneticPr fontId="14"/>
  </si>
  <si>
    <r>
      <rPr>
        <sz val="18"/>
        <color rgb="FFFF0000"/>
        <rFont val="HGS創英角ﾎﾟｯﾌﾟ体"/>
        <family val="3"/>
        <charset val="128"/>
      </rPr>
      <t>令和7年度(2025年度)</t>
    </r>
    <r>
      <rPr>
        <sz val="18"/>
        <color rgb="FF0066FF"/>
        <rFont val="HGS創英角ﾎﾟｯﾌﾟ体"/>
        <family val="3"/>
        <charset val="128"/>
      </rPr>
      <t>任意継続掛金額簡易試算シート</t>
    </r>
    <rPh sb="0" eb="2">
      <t>レイワ</t>
    </rPh>
    <rPh sb="3" eb="5">
      <t>ネンド</t>
    </rPh>
    <rPh sb="13" eb="15">
      <t>ニンイ</t>
    </rPh>
    <rPh sb="15" eb="17">
      <t>ケイゾク</t>
    </rPh>
    <rPh sb="17" eb="19">
      <t>カケキン</t>
    </rPh>
    <rPh sb="19" eb="20">
      <t>ガク</t>
    </rPh>
    <rPh sb="20" eb="22">
      <t>カンイ</t>
    </rPh>
    <rPh sb="22" eb="24">
      <t>シサン</t>
    </rPh>
    <phoneticPr fontId="2"/>
  </si>
  <si>
    <r>
      <rPr>
        <sz val="12"/>
        <color rgb="FFFF0000"/>
        <rFont val="HGPｺﾞｼｯｸE"/>
        <family val="3"/>
        <charset val="128"/>
      </rPr>
      <t>R7.3.31(2025.3.31)以降</t>
    </r>
    <r>
      <rPr>
        <sz val="12"/>
        <color rgb="FF0066FF"/>
        <rFont val="HGPｺﾞｼｯｸE"/>
        <family val="3"/>
        <charset val="128"/>
      </rPr>
      <t>に退職される方に対応しております）</t>
    </r>
    <rPh sb="18" eb="20">
      <t>イコウ</t>
    </rPh>
    <rPh sb="21" eb="23">
      <t>タイショク</t>
    </rPh>
    <rPh sb="26" eb="27">
      <t>カタ</t>
    </rPh>
    <rPh sb="28" eb="30">
      <t>タイオウ</t>
    </rPh>
    <phoneticPr fontId="2"/>
  </si>
  <si>
    <r>
      <t>任継上限の標準報酬</t>
    </r>
    <r>
      <rPr>
        <sz val="8"/>
        <color rgb="FFFF0000"/>
        <rFont val="ＭＳ Ｐゴシック"/>
        <family val="3"/>
        <charset val="128"/>
      </rPr>
      <t xml:space="preserve">
(令和7年度の額)</t>
    </r>
    <rPh sb="0" eb="2">
      <t>ニンケイ</t>
    </rPh>
    <rPh sb="2" eb="4">
      <t>ジョウゲン</t>
    </rPh>
    <rPh sb="5" eb="7">
      <t>ヒョウジュン</t>
    </rPh>
    <rPh sb="7" eb="9">
      <t>ホウシュウ</t>
    </rPh>
    <rPh sb="11" eb="12">
      <t>レイ</t>
    </rPh>
    <rPh sb="12" eb="13">
      <t>ワ</t>
    </rPh>
    <rPh sb="14" eb="16">
      <t>ネンド</t>
    </rPh>
    <rPh sb="17" eb="18">
      <t>ガク</t>
    </rPh>
    <phoneticPr fontId="2"/>
  </si>
  <si>
    <r>
      <t xml:space="preserve">任継の短期掛金率
</t>
    </r>
    <r>
      <rPr>
        <b/>
        <sz val="8"/>
        <color rgb="FFFF0000"/>
        <rFont val="ＭＳ Ｐゴシック"/>
        <family val="3"/>
        <charset val="128"/>
      </rPr>
      <t>(令和7年度の率)</t>
    </r>
    <rPh sb="0" eb="2">
      <t>ニンケイ</t>
    </rPh>
    <rPh sb="3" eb="5">
      <t>タンキ</t>
    </rPh>
    <rPh sb="5" eb="7">
      <t>カケキン</t>
    </rPh>
    <rPh sb="7" eb="8">
      <t>リツ</t>
    </rPh>
    <rPh sb="10" eb="11">
      <t>レイ</t>
    </rPh>
    <rPh sb="11" eb="12">
      <t>ワ</t>
    </rPh>
    <rPh sb="13" eb="15">
      <t>ネンド</t>
    </rPh>
    <rPh sb="16" eb="17">
      <t>リツ</t>
    </rPh>
    <phoneticPr fontId="2"/>
  </si>
  <si>
    <r>
      <t xml:space="preserve">任継の介護掛金率
</t>
    </r>
    <r>
      <rPr>
        <b/>
        <sz val="8"/>
        <color rgb="FFFF0000"/>
        <rFont val="ＭＳ Ｐゴシック"/>
        <family val="3"/>
        <charset val="128"/>
      </rPr>
      <t>(令和7年度の率)</t>
    </r>
    <rPh sb="0" eb="2">
      <t>ニンケイ</t>
    </rPh>
    <rPh sb="3" eb="5">
      <t>カイゴ</t>
    </rPh>
    <rPh sb="5" eb="7">
      <t>カケキン</t>
    </rPh>
    <rPh sb="7" eb="8">
      <t>リツ</t>
    </rPh>
    <rPh sb="10" eb="11">
      <t>レイ</t>
    </rPh>
    <rPh sb="11" eb="12">
      <t>ワ</t>
    </rPh>
    <rPh sb="13" eb="15">
      <t>ネンド</t>
    </rPh>
    <rPh sb="16" eb="17">
      <t>リツ</t>
    </rPh>
    <phoneticPr fontId="2"/>
  </si>
  <si>
    <t>令和7年3月現在</t>
    <phoneticPr fontId="2"/>
  </si>
  <si>
    <t>令和7年度
短期掛金率</t>
    <rPh sb="6" eb="8">
      <t>タンキ</t>
    </rPh>
    <rPh sb="8" eb="10">
      <t>カケキン</t>
    </rPh>
    <rPh sb="10" eb="11">
      <t>リツ</t>
    </rPh>
    <phoneticPr fontId="2"/>
  </si>
  <si>
    <t>令和7年度
介護掛金率</t>
    <rPh sb="6" eb="8">
      <t>カイゴ</t>
    </rPh>
    <rPh sb="8" eb="10">
      <t>カケキン</t>
    </rPh>
    <rPh sb="10" eb="11">
      <t>リツ</t>
    </rPh>
    <phoneticPr fontId="2"/>
  </si>
  <si>
    <r>
      <t>《参考》令和７年度の任意継続掛金率で、</t>
    </r>
    <r>
      <rPr>
        <u/>
        <sz val="16"/>
        <rFont val="Meiryo UI"/>
        <family val="3"/>
        <charset val="128"/>
      </rPr>
      <t>最大の</t>
    </r>
    <r>
      <rPr>
        <sz val="16"/>
        <color theme="1"/>
        <rFont val="Meiryo UI"/>
        <family val="3"/>
        <charset val="128"/>
      </rPr>
      <t>掛金額</t>
    </r>
    <rPh sb="1" eb="3">
      <t>サンコウ</t>
    </rPh>
    <rPh sb="4" eb="5">
      <t>レイ</t>
    </rPh>
    <rPh sb="5" eb="6">
      <t>ワ</t>
    </rPh>
    <rPh sb="7" eb="9">
      <t>ネンド</t>
    </rPh>
    <rPh sb="10" eb="12">
      <t>ニンイ</t>
    </rPh>
    <rPh sb="12" eb="14">
      <t>ケイゾク</t>
    </rPh>
    <rPh sb="14" eb="15">
      <t>カ</t>
    </rPh>
    <rPh sb="15" eb="16">
      <t>キン</t>
    </rPh>
    <rPh sb="16" eb="17">
      <t>リツ</t>
    </rPh>
    <rPh sb="19" eb="21">
      <t>サイダイ</t>
    </rPh>
    <rPh sb="22" eb="23">
      <t>カ</t>
    </rPh>
    <rPh sb="23" eb="24">
      <t>キン</t>
    </rPh>
    <rPh sb="24" eb="25">
      <t>ガク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</si>
</sst>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[$-411]ge\.m\.d;@"/>
    <numFmt numFmtId="177" formatCode="0_);[Red]\(0\)"/>
    <numFmt numFmtId="178" formatCode="#,##0_ "/>
    <numFmt numFmtId="179" formatCode="##&quot;月&quot;"/>
    <numFmt numFmtId="180" formatCode="###,###&quot;円&quot;"/>
    <numFmt numFmtId="181" formatCode="#,##0&quot;月&quot;"/>
    <numFmt numFmtId="182" formatCode="[$-411]&quot;(退職日) 　&quot;ge\.m\.d;@"/>
    <numFmt numFmtId="183" formatCode="&quot;短期前納　&quot;0&quot;月&quot;"/>
    <numFmt numFmtId="184" formatCode="&quot;介護前納　&quot;0&quot;月&quot;"/>
    <numFmt numFmtId="185" formatCode="#,##0\ &quot;円&quot;_);[Red]\(#,##0\)"/>
    <numFmt numFmtId="186" formatCode="\+\ #,##0\ &quot;円&quot;_);[Red]\(#,##0\)"/>
    <numFmt numFmtId="187" formatCode="[$-411]\=ge\.m\.d;@"/>
    <numFmt numFmtId="188" formatCode="###,###&quot;　円&quot;"/>
    <numFmt numFmtId="189" formatCode="#,##0&quot;　円&quot;"/>
    <numFmt numFmtId="190" formatCode="General&quot;等&quot;&quot;級&quot;"/>
    <numFmt numFmtId="191" formatCode="\-#,##0;[Red]\-#,##0"/>
    <numFmt numFmtId="192" formatCode="General&quot;か&quot;&quot;月&quot;"/>
    <numFmt numFmtId="193" formatCode="0.000%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8"/>
      <color rgb="FF0066FF"/>
      <name val="HGP創英角ﾎﾟｯﾌﾟ体"/>
      <family val="3"/>
      <charset val="128"/>
    </font>
    <font>
      <sz val="18"/>
      <color rgb="FF0066FF"/>
      <name val="HGS創英角ﾎﾟｯﾌﾟ体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0066FF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rgb="FFFF0000"/>
      <name val="HGS創英角ﾎﾟｯﾌﾟ体"/>
      <family val="3"/>
      <charset val="128"/>
    </font>
    <font>
      <sz val="12"/>
      <color rgb="FF0066FF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sz val="8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Meiryo UI"/>
      <family val="3"/>
      <charset val="128"/>
    </font>
    <font>
      <u/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name val="Meiryo UI"/>
      <family val="3"/>
      <charset val="128"/>
    </font>
    <font>
      <u/>
      <sz val="14"/>
      <color rgb="FFFF0000"/>
      <name val="Meiryo UI"/>
      <family val="3"/>
      <charset val="128"/>
    </font>
    <font>
      <sz val="14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  <font>
      <u/>
      <sz val="16"/>
      <name val="Meiryo UI"/>
      <family val="3"/>
      <charset val="128"/>
    </font>
    <font>
      <sz val="14"/>
      <color rgb="FF0000FF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FF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/>
    <xf numFmtId="38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3">
    <xf numFmtId="0" fontId="0" fillId="0" borderId="0" xfId="0"/>
    <xf numFmtId="0" fontId="3" fillId="0" borderId="0" xfId="0" applyFont="1" applyAlignment="1">
      <alignment horizontal="center"/>
    </xf>
    <xf numFmtId="38" fontId="3" fillId="0" borderId="0" xfId="1" applyFont="1" applyFill="1"/>
    <xf numFmtId="0" fontId="3" fillId="0" borderId="1" xfId="0" applyFont="1" applyBorder="1"/>
    <xf numFmtId="38" fontId="3" fillId="0" borderId="1" xfId="1" applyFont="1" applyFill="1" applyBorder="1"/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76" fontId="7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38" fontId="3" fillId="0" borderId="1" xfId="1" applyFont="1" applyFill="1" applyBorder="1" applyAlignment="1"/>
    <xf numFmtId="0" fontId="0" fillId="0" borderId="17" xfId="0" applyBorder="1" applyAlignment="1">
      <alignment horizontal="center"/>
    </xf>
    <xf numFmtId="0" fontId="5" fillId="0" borderId="18" xfId="0" applyFont="1" applyBorder="1" applyAlignment="1">
      <alignment wrapText="1"/>
    </xf>
    <xf numFmtId="38" fontId="5" fillId="0" borderId="19" xfId="1" applyFont="1" applyFill="1" applyBorder="1" applyAlignment="1" applyProtection="1">
      <alignment horizontal="center" wrapText="1"/>
    </xf>
    <xf numFmtId="38" fontId="1" fillId="0" borderId="20" xfId="1" applyFont="1" applyFill="1" applyBorder="1" applyProtection="1"/>
    <xf numFmtId="0" fontId="0" fillId="0" borderId="21" xfId="0" applyBorder="1"/>
    <xf numFmtId="38" fontId="1" fillId="0" borderId="5" xfId="1" applyFont="1" applyFill="1" applyBorder="1" applyProtection="1"/>
    <xf numFmtId="38" fontId="1" fillId="0" borderId="15" xfId="1" applyFont="1" applyFill="1" applyBorder="1" applyProtection="1"/>
    <xf numFmtId="177" fontId="5" fillId="0" borderId="15" xfId="1" applyNumberFormat="1" applyFont="1" applyFill="1" applyBorder="1" applyProtection="1"/>
    <xf numFmtId="0" fontId="5" fillId="0" borderId="22" xfId="0" applyFont="1" applyBorder="1"/>
    <xf numFmtId="0" fontId="3" fillId="0" borderId="5" xfId="0" applyFont="1" applyBorder="1" applyAlignment="1">
      <alignment horizontal="right"/>
    </xf>
    <xf numFmtId="38" fontId="1" fillId="0" borderId="23" xfId="1" applyFont="1" applyFill="1" applyBorder="1" applyProtection="1"/>
    <xf numFmtId="38" fontId="1" fillId="0" borderId="1" xfId="1" applyFont="1" applyFill="1" applyBorder="1" applyProtection="1"/>
    <xf numFmtId="0" fontId="3" fillId="0" borderId="0" xfId="0" applyFont="1" applyAlignment="1">
      <alignment horizontal="left"/>
    </xf>
    <xf numFmtId="0" fontId="3" fillId="2" borderId="0" xfId="0" applyFont="1" applyFill="1"/>
    <xf numFmtId="38" fontId="9" fillId="2" borderId="2" xfId="1" applyFont="1" applyFill="1" applyBorder="1" applyProtection="1">
      <protection locked="0"/>
    </xf>
    <xf numFmtId="0" fontId="9" fillId="2" borderId="6" xfId="0" applyFont="1" applyFill="1" applyBorder="1" applyProtection="1">
      <protection locked="0"/>
    </xf>
    <xf numFmtId="0" fontId="3" fillId="0" borderId="7" xfId="0" applyFont="1" applyBorder="1"/>
    <xf numFmtId="0" fontId="3" fillId="0" borderId="8" xfId="0" applyFont="1" applyBorder="1"/>
    <xf numFmtId="178" fontId="3" fillId="0" borderId="1" xfId="0" applyNumberFormat="1" applyFont="1" applyBorder="1"/>
    <xf numFmtId="181" fontId="3" fillId="0" borderId="1" xfId="0" applyNumberFormat="1" applyFont="1" applyBorder="1"/>
    <xf numFmtId="0" fontId="3" fillId="0" borderId="9" xfId="0" applyFont="1" applyBorder="1"/>
    <xf numFmtId="0" fontId="3" fillId="0" borderId="24" xfId="0" applyFont="1" applyBorder="1" applyAlignment="1">
      <alignment horizontal="center"/>
    </xf>
    <xf numFmtId="176" fontId="3" fillId="0" borderId="24" xfId="0" applyNumberFormat="1" applyFont="1" applyBorder="1" applyAlignment="1">
      <alignment horizontal="center"/>
    </xf>
    <xf numFmtId="176" fontId="3" fillId="0" borderId="25" xfId="0" applyNumberFormat="1" applyFont="1" applyBorder="1" applyAlignment="1">
      <alignment horizontal="center"/>
    </xf>
    <xf numFmtId="176" fontId="3" fillId="0" borderId="26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176" fontId="3" fillId="0" borderId="0" xfId="0" applyNumberFormat="1" applyFont="1"/>
    <xf numFmtId="182" fontId="3" fillId="0" borderId="0" xfId="0" applyNumberFormat="1" applyFont="1"/>
    <xf numFmtId="0" fontId="15" fillId="0" borderId="0" xfId="4" applyFont="1" applyAlignment="1">
      <alignment vertical="center"/>
    </xf>
    <xf numFmtId="0" fontId="15" fillId="0" borderId="0" xfId="4" applyFont="1" applyAlignment="1">
      <alignment vertical="top"/>
    </xf>
    <xf numFmtId="0" fontId="15" fillId="0" borderId="0" xfId="4" applyFont="1"/>
    <xf numFmtId="0" fontId="15" fillId="0" borderId="0" xfId="4" applyFont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 applyProtection="1">
      <alignment horizontal="right"/>
      <protection locked="0"/>
    </xf>
    <xf numFmtId="0" fontId="3" fillId="5" borderId="1" xfId="0" applyFont="1" applyFill="1" applyBorder="1"/>
    <xf numFmtId="38" fontId="3" fillId="5" borderId="1" xfId="1" applyFont="1" applyFill="1" applyBorder="1"/>
    <xf numFmtId="38" fontId="9" fillId="0" borderId="1" xfId="1" applyFont="1" applyFill="1" applyBorder="1"/>
    <xf numFmtId="38" fontId="3" fillId="0" borderId="6" xfId="1" applyFont="1" applyFill="1" applyBorder="1"/>
    <xf numFmtId="38" fontId="3" fillId="0" borderId="5" xfId="1" applyFont="1" applyFill="1" applyBorder="1"/>
    <xf numFmtId="38" fontId="3" fillId="5" borderId="0" xfId="1" applyFont="1" applyFill="1"/>
    <xf numFmtId="38" fontId="0" fillId="0" borderId="0" xfId="1" applyFont="1" applyFill="1"/>
    <xf numFmtId="180" fontId="10" fillId="0" borderId="59" xfId="1" applyNumberFormat="1" applyFont="1" applyFill="1" applyBorder="1" applyAlignment="1" applyProtection="1">
      <alignment vertical="center"/>
      <protection hidden="1"/>
    </xf>
    <xf numFmtId="180" fontId="10" fillId="0" borderId="0" xfId="1" applyNumberFormat="1" applyFont="1" applyFill="1" applyBorder="1" applyAlignment="1" applyProtection="1">
      <alignment vertical="center"/>
      <protection hidden="1"/>
    </xf>
    <xf numFmtId="176" fontId="0" fillId="0" borderId="0" xfId="0" applyNumberForma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38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91" fontId="9" fillId="0" borderId="1" xfId="1" applyNumberFormat="1" applyFont="1" applyFill="1" applyBorder="1" applyAlignment="1">
      <alignment horizontal="right" vertical="center"/>
    </xf>
    <xf numFmtId="38" fontId="3" fillId="7" borderId="66" xfId="1" applyFont="1" applyFill="1" applyBorder="1" applyAlignment="1">
      <alignment horizontal="centerContinuous" vertical="center"/>
    </xf>
    <xf numFmtId="38" fontId="3" fillId="7" borderId="43" xfId="1" applyFont="1" applyFill="1" applyBorder="1" applyAlignment="1">
      <alignment horizontal="centerContinuous" vertical="center"/>
    </xf>
    <xf numFmtId="190" fontId="3" fillId="0" borderId="23" xfId="0" applyNumberFormat="1" applyFont="1" applyBorder="1" applyAlignment="1">
      <alignment horizontal="center" vertical="center"/>
    </xf>
    <xf numFmtId="191" fontId="9" fillId="0" borderId="21" xfId="1" applyNumberFormat="1" applyFont="1" applyFill="1" applyBorder="1" applyAlignment="1">
      <alignment horizontal="right" vertical="center"/>
    </xf>
    <xf numFmtId="190" fontId="3" fillId="5" borderId="53" xfId="0" applyNumberFormat="1" applyFont="1" applyFill="1" applyBorder="1" applyAlignment="1">
      <alignment horizontal="center" vertical="center"/>
    </xf>
    <xf numFmtId="38" fontId="3" fillId="5" borderId="67" xfId="0" applyNumberFormat="1" applyFont="1" applyFill="1" applyBorder="1" applyAlignment="1">
      <alignment vertical="center"/>
    </xf>
    <xf numFmtId="191" fontId="9" fillId="5" borderId="67" xfId="1" applyNumberFormat="1" applyFont="1" applyFill="1" applyBorder="1" applyAlignment="1">
      <alignment horizontal="right" vertical="center"/>
    </xf>
    <xf numFmtId="191" fontId="9" fillId="5" borderId="68" xfId="1" applyNumberFormat="1" applyFont="1" applyFill="1" applyBorder="1" applyAlignment="1">
      <alignment horizontal="right" vertical="center"/>
    </xf>
    <xf numFmtId="190" fontId="3" fillId="0" borderId="69" xfId="0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vertical="center"/>
    </xf>
    <xf numFmtId="191" fontId="9" fillId="0" borderId="3" xfId="1" applyNumberFormat="1" applyFont="1" applyFill="1" applyBorder="1" applyAlignment="1">
      <alignment horizontal="right" vertical="center"/>
    </xf>
    <xf numFmtId="191" fontId="9" fillId="0" borderId="70" xfId="1" applyNumberFormat="1" applyFont="1" applyFill="1" applyBorder="1" applyAlignment="1">
      <alignment horizontal="right" vertical="center"/>
    </xf>
    <xf numFmtId="192" fontId="3" fillId="7" borderId="72" xfId="0" applyNumberFormat="1" applyFont="1" applyFill="1" applyBorder="1" applyAlignment="1">
      <alignment horizontal="center" vertical="center"/>
    </xf>
    <xf numFmtId="38" fontId="3" fillId="7" borderId="72" xfId="1" applyFont="1" applyFill="1" applyBorder="1" applyAlignment="1">
      <alignment horizontal="center" vertical="center"/>
    </xf>
    <xf numFmtId="38" fontId="3" fillId="7" borderId="73" xfId="1" applyFont="1" applyFill="1" applyBorder="1" applyAlignment="1">
      <alignment horizontal="center" vertical="center"/>
    </xf>
    <xf numFmtId="192" fontId="3" fillId="7" borderId="74" xfId="0" applyNumberFormat="1" applyFont="1" applyFill="1" applyBorder="1" applyAlignment="1">
      <alignment horizontal="center" vertical="center"/>
    </xf>
    <xf numFmtId="38" fontId="3" fillId="0" borderId="9" xfId="0" applyNumberFormat="1" applyFont="1" applyBorder="1" applyAlignment="1">
      <alignment vertical="center"/>
    </xf>
    <xf numFmtId="38" fontId="3" fillId="0" borderId="5" xfId="0" applyNumberFormat="1" applyFont="1" applyBorder="1" applyAlignment="1">
      <alignment vertical="center"/>
    </xf>
    <xf numFmtId="38" fontId="3" fillId="5" borderId="75" xfId="0" applyNumberFormat="1" applyFont="1" applyFill="1" applyBorder="1" applyAlignment="1">
      <alignment vertical="center"/>
    </xf>
    <xf numFmtId="38" fontId="3" fillId="0" borderId="78" xfId="0" applyNumberFormat="1" applyFont="1" applyBorder="1" applyAlignment="1">
      <alignment vertical="center"/>
    </xf>
    <xf numFmtId="38" fontId="3" fillId="0" borderId="11" xfId="0" applyNumberFormat="1" applyFont="1" applyBorder="1" applyAlignment="1">
      <alignment vertical="center"/>
    </xf>
    <xf numFmtId="38" fontId="3" fillId="5" borderId="79" xfId="0" applyNumberFormat="1" applyFont="1" applyFill="1" applyBorder="1" applyAlignment="1">
      <alignment vertical="center"/>
    </xf>
    <xf numFmtId="38" fontId="3" fillId="8" borderId="66" xfId="1" applyFont="1" applyFill="1" applyBorder="1" applyAlignment="1">
      <alignment horizontal="centerContinuous" vertical="center"/>
    </xf>
    <xf numFmtId="38" fontId="3" fillId="8" borderId="43" xfId="1" applyFont="1" applyFill="1" applyBorder="1" applyAlignment="1">
      <alignment horizontal="centerContinuous" vertical="center"/>
    </xf>
    <xf numFmtId="192" fontId="3" fillId="8" borderId="72" xfId="0" applyNumberFormat="1" applyFont="1" applyFill="1" applyBorder="1" applyAlignment="1">
      <alignment horizontal="center" vertical="center"/>
    </xf>
    <xf numFmtId="38" fontId="3" fillId="8" borderId="72" xfId="1" applyFont="1" applyFill="1" applyBorder="1" applyAlignment="1">
      <alignment horizontal="center" vertical="center"/>
    </xf>
    <xf numFmtId="38" fontId="3" fillId="8" borderId="73" xfId="1" applyFont="1" applyFill="1" applyBorder="1" applyAlignment="1">
      <alignment horizontal="center" vertical="center"/>
    </xf>
    <xf numFmtId="192" fontId="3" fillId="8" borderId="7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190" fontId="3" fillId="0" borderId="80" xfId="0" applyNumberFormat="1" applyFont="1" applyBorder="1" applyAlignment="1">
      <alignment horizontal="center" vertical="center"/>
    </xf>
    <xf numFmtId="38" fontId="3" fillId="0" borderId="14" xfId="0" applyNumberFormat="1" applyFont="1" applyBorder="1" applyAlignment="1">
      <alignment vertical="center"/>
    </xf>
    <xf numFmtId="38" fontId="3" fillId="0" borderId="81" xfId="0" applyNumberFormat="1" applyFont="1" applyBorder="1" applyAlignment="1">
      <alignment vertical="center"/>
    </xf>
    <xf numFmtId="38" fontId="3" fillId="0" borderId="4" xfId="0" applyNumberFormat="1" applyFont="1" applyBorder="1" applyAlignment="1">
      <alignment vertical="center"/>
    </xf>
    <xf numFmtId="191" fontId="9" fillId="0" borderId="4" xfId="1" applyNumberFormat="1" applyFont="1" applyFill="1" applyBorder="1" applyAlignment="1">
      <alignment horizontal="right" vertical="center"/>
    </xf>
    <xf numFmtId="191" fontId="9" fillId="0" borderId="82" xfId="1" applyNumberFormat="1" applyFont="1" applyFill="1" applyBorder="1" applyAlignment="1">
      <alignment horizontal="right" vertical="center"/>
    </xf>
    <xf numFmtId="190" fontId="3" fillId="5" borderId="83" xfId="0" applyNumberFormat="1" applyFont="1" applyFill="1" applyBorder="1" applyAlignment="1">
      <alignment horizontal="center" vertical="center"/>
    </xf>
    <xf numFmtId="38" fontId="3" fillId="5" borderId="46" xfId="0" applyNumberFormat="1" applyFont="1" applyFill="1" applyBorder="1" applyAlignment="1">
      <alignment vertical="center"/>
    </xf>
    <xf numFmtId="38" fontId="3" fillId="5" borderId="84" xfId="0" applyNumberFormat="1" applyFont="1" applyFill="1" applyBorder="1" applyAlignment="1">
      <alignment vertical="center"/>
    </xf>
    <xf numFmtId="38" fontId="3" fillId="5" borderId="45" xfId="0" applyNumberFormat="1" applyFont="1" applyFill="1" applyBorder="1" applyAlignment="1">
      <alignment vertical="center"/>
    </xf>
    <xf numFmtId="191" fontId="9" fillId="5" borderId="45" xfId="1" applyNumberFormat="1" applyFont="1" applyFill="1" applyBorder="1" applyAlignment="1">
      <alignment horizontal="right" vertical="center"/>
    </xf>
    <xf numFmtId="191" fontId="9" fillId="5" borderId="85" xfId="1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 vertical="top" shrinkToFit="1"/>
    </xf>
    <xf numFmtId="38" fontId="27" fillId="9" borderId="54" xfId="5" applyFont="1" applyFill="1" applyBorder="1" applyAlignment="1" applyProtection="1">
      <alignment horizontal="center" vertical="center"/>
    </xf>
    <xf numFmtId="38" fontId="27" fillId="10" borderId="55" xfId="5" applyFont="1" applyFill="1" applyBorder="1" applyAlignment="1" applyProtection="1">
      <alignment horizontal="center" vertical="center"/>
    </xf>
    <xf numFmtId="38" fontId="27" fillId="4" borderId="56" xfId="5" applyFont="1" applyFill="1" applyBorder="1" applyAlignment="1" applyProtection="1">
      <alignment horizontal="center" vertical="center"/>
    </xf>
    <xf numFmtId="38" fontId="27" fillId="0" borderId="0" xfId="5" applyFont="1" applyFill="1" applyBorder="1" applyAlignment="1" applyProtection="1">
      <alignment horizontal="center" vertical="top"/>
    </xf>
    <xf numFmtId="38" fontId="27" fillId="0" borderId="86" xfId="5" applyFont="1" applyFill="1" applyBorder="1" applyAlignment="1" applyProtection="1">
      <alignment horizontal="center" vertical="center"/>
    </xf>
    <xf numFmtId="38" fontId="27" fillId="0" borderId="87" xfId="5" applyFont="1" applyFill="1" applyBorder="1" applyAlignment="1" applyProtection="1">
      <alignment horizontal="center" vertical="center"/>
    </xf>
    <xf numFmtId="38" fontId="27" fillId="0" borderId="88" xfId="5" applyFont="1" applyFill="1" applyBorder="1" applyAlignment="1" applyProtection="1">
      <alignment horizontal="center" vertical="center"/>
    </xf>
    <xf numFmtId="38" fontId="27" fillId="0" borderId="89" xfId="5" applyFont="1" applyFill="1" applyBorder="1" applyAlignment="1" applyProtection="1">
      <alignment horizontal="center" vertical="center"/>
    </xf>
    <xf numFmtId="38" fontId="27" fillId="0" borderId="90" xfId="5" applyFont="1" applyFill="1" applyBorder="1" applyAlignment="1" applyProtection="1">
      <alignment horizontal="center" vertical="center"/>
    </xf>
    <xf numFmtId="38" fontId="27" fillId="0" borderId="91" xfId="5" applyFont="1" applyFill="1" applyBorder="1" applyAlignment="1" applyProtection="1">
      <alignment horizontal="center" vertical="center"/>
    </xf>
    <xf numFmtId="185" fontId="27" fillId="9" borderId="92" xfId="5" applyNumberFormat="1" applyFont="1" applyFill="1" applyBorder="1" applyAlignment="1" applyProtection="1">
      <alignment horizontal="right" vertical="center"/>
    </xf>
    <xf numFmtId="185" fontId="27" fillId="9" borderId="93" xfId="5" applyNumberFormat="1" applyFont="1" applyFill="1" applyBorder="1" applyAlignment="1" applyProtection="1">
      <alignment horizontal="right" vertical="center"/>
    </xf>
    <xf numFmtId="186" fontId="27" fillId="9" borderId="94" xfId="5" applyNumberFormat="1" applyFont="1" applyFill="1" applyBorder="1" applyAlignment="1" applyProtection="1">
      <alignment horizontal="right" vertical="center"/>
    </xf>
    <xf numFmtId="185" fontId="27" fillId="10" borderId="95" xfId="5" applyNumberFormat="1" applyFont="1" applyFill="1" applyBorder="1" applyAlignment="1" applyProtection="1">
      <alignment horizontal="right" vertical="center"/>
    </xf>
    <xf numFmtId="185" fontId="27" fillId="10" borderId="96" xfId="5" applyNumberFormat="1" applyFont="1" applyFill="1" applyBorder="1" applyAlignment="1" applyProtection="1">
      <alignment horizontal="right" vertical="center"/>
    </xf>
    <xf numFmtId="186" fontId="27" fillId="10" borderId="97" xfId="5" applyNumberFormat="1" applyFont="1" applyFill="1" applyBorder="1" applyAlignment="1" applyProtection="1">
      <alignment horizontal="right" vertical="center"/>
    </xf>
    <xf numFmtId="38" fontId="27" fillId="0" borderId="98" xfId="5" applyFont="1" applyBorder="1" applyAlignment="1" applyProtection="1">
      <alignment horizontal="center" vertical="center"/>
    </xf>
    <xf numFmtId="0" fontId="32" fillId="0" borderId="0" xfId="4" applyFont="1"/>
    <xf numFmtId="10" fontId="30" fillId="0" borderId="100" xfId="6" applyNumberFormat="1" applyFont="1" applyFill="1" applyBorder="1" applyAlignment="1" applyProtection="1">
      <alignment horizontal="center" vertical="center"/>
    </xf>
    <xf numFmtId="193" fontId="30" fillId="0" borderId="1" xfId="0" applyNumberFormat="1" applyFont="1" applyBorder="1" applyAlignment="1">
      <alignment horizontal="center" vertical="center"/>
    </xf>
    <xf numFmtId="0" fontId="35" fillId="0" borderId="9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Continuous" vertical="center"/>
    </xf>
    <xf numFmtId="0" fontId="33" fillId="0" borderId="0" xfId="0" applyFont="1" applyAlignment="1">
      <alignment horizontal="centerContinuous" vertical="center"/>
    </xf>
    <xf numFmtId="0" fontId="30" fillId="0" borderId="0" xfId="0" applyFont="1" applyAlignment="1">
      <alignment horizontal="centerContinuous" vertical="center"/>
    </xf>
    <xf numFmtId="0" fontId="27" fillId="0" borderId="0" xfId="4" applyFont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51" xfId="0" applyFont="1" applyBorder="1" applyAlignment="1" applyProtection="1">
      <alignment horizontal="center" vertical="center"/>
      <protection hidden="1"/>
    </xf>
    <xf numFmtId="183" fontId="4" fillId="6" borderId="13" xfId="0" applyNumberFormat="1" applyFont="1" applyFill="1" applyBorder="1" applyAlignment="1" applyProtection="1">
      <alignment horizontal="center" vertical="center" shrinkToFit="1"/>
      <protection hidden="1"/>
    </xf>
    <xf numFmtId="183" fontId="4" fillId="6" borderId="4" xfId="0" applyNumberFormat="1" applyFont="1" applyFill="1" applyBorder="1" applyAlignment="1" applyProtection="1">
      <alignment horizontal="center" vertical="center" shrinkToFit="1"/>
      <protection hidden="1"/>
    </xf>
    <xf numFmtId="184" fontId="4" fillId="6" borderId="4" xfId="0" applyNumberFormat="1" applyFont="1" applyFill="1" applyBorder="1" applyAlignment="1" applyProtection="1">
      <alignment horizontal="center" vertical="center" shrinkToFit="1"/>
      <protection hidden="1"/>
    </xf>
    <xf numFmtId="184" fontId="4" fillId="6" borderId="14" xfId="0" applyNumberFormat="1" applyFont="1" applyFill="1" applyBorder="1" applyAlignment="1" applyProtection="1">
      <alignment horizontal="center" vertical="center" shrinkToFit="1"/>
      <protection hidden="1"/>
    </xf>
    <xf numFmtId="38" fontId="38" fillId="0" borderId="10" xfId="1" applyFont="1" applyFill="1" applyBorder="1" applyAlignment="1" applyProtection="1">
      <alignment vertical="center"/>
      <protection hidden="1"/>
    </xf>
    <xf numFmtId="38" fontId="38" fillId="0" borderId="1" xfId="1" applyFont="1" applyFill="1" applyBorder="1" applyAlignment="1" applyProtection="1">
      <alignment vertical="center"/>
      <protection hidden="1"/>
    </xf>
    <xf numFmtId="38" fontId="38" fillId="0" borderId="11" xfId="1" applyFont="1" applyFill="1" applyBorder="1" applyAlignment="1" applyProtection="1">
      <alignment vertical="center"/>
      <protection hidden="1"/>
    </xf>
    <xf numFmtId="38" fontId="38" fillId="0" borderId="13" xfId="1" applyFont="1" applyFill="1" applyBorder="1" applyAlignment="1" applyProtection="1">
      <alignment vertical="center"/>
      <protection hidden="1"/>
    </xf>
    <xf numFmtId="38" fontId="38" fillId="0" borderId="4" xfId="1" applyFont="1" applyFill="1" applyBorder="1" applyAlignment="1" applyProtection="1">
      <alignment vertical="center"/>
      <protection hidden="1"/>
    </xf>
    <xf numFmtId="38" fontId="38" fillId="0" borderId="14" xfId="1" applyFont="1" applyFill="1" applyBorder="1" applyAlignment="1" applyProtection="1">
      <alignment vertical="center"/>
      <protection hidden="1"/>
    </xf>
    <xf numFmtId="38" fontId="39" fillId="0" borderId="62" xfId="1" applyFont="1" applyFill="1" applyBorder="1" applyAlignment="1" applyProtection="1">
      <alignment vertical="center"/>
      <protection hidden="1"/>
    </xf>
    <xf numFmtId="38" fontId="39" fillId="0" borderId="63" xfId="1" applyFont="1" applyFill="1" applyBorder="1" applyAlignment="1" applyProtection="1">
      <alignment vertical="center"/>
      <protection hidden="1"/>
    </xf>
    <xf numFmtId="38" fontId="39" fillId="0" borderId="64" xfId="1" applyFont="1" applyFill="1" applyBorder="1" applyAlignment="1" applyProtection="1">
      <alignment vertical="center"/>
      <protection hidden="1"/>
    </xf>
    <xf numFmtId="178" fontId="39" fillId="0" borderId="62" xfId="0" applyNumberFormat="1" applyFont="1" applyBorder="1" applyAlignment="1" applyProtection="1">
      <alignment vertical="center"/>
      <protection hidden="1"/>
    </xf>
    <xf numFmtId="178" fontId="39" fillId="0" borderId="63" xfId="0" applyNumberFormat="1" applyFont="1" applyBorder="1" applyAlignment="1" applyProtection="1">
      <alignment vertical="center"/>
      <protection hidden="1"/>
    </xf>
    <xf numFmtId="178" fontId="39" fillId="0" borderId="64" xfId="0" applyNumberFormat="1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22" fillId="0" borderId="0" xfId="0" applyFont="1" applyAlignment="1" applyProtection="1">
      <alignment horizontal="center" vertical="top"/>
      <protection hidden="1"/>
    </xf>
    <xf numFmtId="178" fontId="38" fillId="0" borderId="13" xfId="0" applyNumberFormat="1" applyFont="1" applyBorder="1" applyAlignment="1" applyProtection="1">
      <alignment vertical="center"/>
      <protection hidden="1"/>
    </xf>
    <xf numFmtId="178" fontId="38" fillId="0" borderId="4" xfId="0" applyNumberFormat="1" applyFont="1" applyBorder="1" applyAlignment="1" applyProtection="1">
      <alignment vertical="center"/>
      <protection hidden="1"/>
    </xf>
    <xf numFmtId="178" fontId="38" fillId="0" borderId="14" xfId="0" applyNumberFormat="1" applyFont="1" applyBorder="1" applyAlignment="1" applyProtection="1">
      <alignment vertical="center"/>
      <protection hidden="1"/>
    </xf>
    <xf numFmtId="0" fontId="4" fillId="6" borderId="50" xfId="0" applyFont="1" applyFill="1" applyBorder="1" applyAlignment="1" applyProtection="1">
      <alignment horizontal="center" vertical="center" shrinkToFit="1"/>
      <protection hidden="1"/>
    </xf>
    <xf numFmtId="0" fontId="4" fillId="6" borderId="15" xfId="0" applyFont="1" applyFill="1" applyBorder="1" applyAlignment="1" applyProtection="1">
      <alignment horizontal="center" vertical="center" shrinkToFit="1"/>
      <protection hidden="1"/>
    </xf>
    <xf numFmtId="0" fontId="4" fillId="6" borderId="51" xfId="0" applyFont="1" applyFill="1" applyBorder="1" applyAlignment="1" applyProtection="1">
      <alignment horizontal="center" vertical="center" shrinkToFit="1"/>
      <protection hidden="1"/>
    </xf>
    <xf numFmtId="0" fontId="8" fillId="6" borderId="44" xfId="0" applyFont="1" applyFill="1" applyBorder="1" applyAlignment="1" applyProtection="1">
      <alignment horizontal="center" vertical="center" wrapText="1" shrinkToFit="1"/>
      <protection hidden="1"/>
    </xf>
    <xf numFmtId="0" fontId="8" fillId="6" borderId="45" xfId="0" applyFont="1" applyFill="1" applyBorder="1" applyAlignment="1" applyProtection="1">
      <alignment horizontal="center" vertical="center" wrapText="1" shrinkToFit="1"/>
      <protection hidden="1"/>
    </xf>
    <xf numFmtId="0" fontId="8" fillId="6" borderId="46" xfId="0" applyFont="1" applyFill="1" applyBorder="1" applyAlignment="1" applyProtection="1">
      <alignment horizontal="center" vertical="center" wrapText="1" shrinkToFit="1"/>
      <protection hidden="1"/>
    </xf>
    <xf numFmtId="0" fontId="8" fillId="6" borderId="44" xfId="0" applyFont="1" applyFill="1" applyBorder="1" applyAlignment="1" applyProtection="1">
      <alignment horizontal="center" vertical="center"/>
      <protection hidden="1"/>
    </xf>
    <xf numFmtId="0" fontId="8" fillId="6" borderId="45" xfId="0" applyFont="1" applyFill="1" applyBorder="1" applyAlignment="1" applyProtection="1">
      <alignment horizontal="center" vertical="center"/>
      <protection hidden="1"/>
    </xf>
    <xf numFmtId="0" fontId="8" fillId="6" borderId="46" xfId="0" applyFont="1" applyFill="1" applyBorder="1" applyAlignment="1" applyProtection="1">
      <alignment horizontal="center" vertical="center"/>
      <protection hidden="1"/>
    </xf>
    <xf numFmtId="0" fontId="6" fillId="0" borderId="60" xfId="0" applyFont="1" applyBorder="1" applyAlignment="1" applyProtection="1">
      <alignment horizontal="center" vertical="center"/>
      <protection hidden="1"/>
    </xf>
    <xf numFmtId="0" fontId="6" fillId="0" borderId="61" xfId="0" applyFont="1" applyBorder="1" applyAlignment="1" applyProtection="1">
      <alignment horizontal="center" vertical="center"/>
      <protection hidden="1"/>
    </xf>
    <xf numFmtId="0" fontId="3" fillId="3" borderId="35" xfId="0" applyFont="1" applyFill="1" applyBorder="1" applyAlignment="1" applyProtection="1">
      <alignment horizontal="center" vertical="center"/>
      <protection hidden="1"/>
    </xf>
    <xf numFmtId="0" fontId="3" fillId="3" borderId="36" xfId="0" applyFont="1" applyFill="1" applyBorder="1" applyAlignment="1" applyProtection="1">
      <alignment horizontal="center" vertical="center"/>
      <protection hidden="1"/>
    </xf>
    <xf numFmtId="0" fontId="3" fillId="3" borderId="37" xfId="0" applyFont="1" applyFill="1" applyBorder="1" applyAlignment="1" applyProtection="1">
      <alignment horizontal="center" vertical="center"/>
      <protection hidden="1"/>
    </xf>
    <xf numFmtId="0" fontId="3" fillId="3" borderId="38" xfId="0" applyFont="1" applyFill="1" applyBorder="1" applyAlignment="1" applyProtection="1">
      <alignment horizontal="center" vertical="center"/>
      <protection hidden="1"/>
    </xf>
    <xf numFmtId="0" fontId="3" fillId="3" borderId="39" xfId="0" applyFont="1" applyFill="1" applyBorder="1" applyAlignment="1" applyProtection="1">
      <alignment horizontal="center" vertical="center"/>
      <protection hidden="1"/>
    </xf>
    <xf numFmtId="0" fontId="3" fillId="3" borderId="40" xfId="0" applyFont="1" applyFill="1" applyBorder="1" applyAlignment="1" applyProtection="1">
      <alignment horizontal="center" vertical="center"/>
      <protection hidden="1"/>
    </xf>
    <xf numFmtId="0" fontId="3" fillId="3" borderId="41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78" fontId="38" fillId="0" borderId="10" xfId="0" applyNumberFormat="1" applyFont="1" applyBorder="1" applyAlignment="1" applyProtection="1">
      <alignment vertical="center"/>
      <protection hidden="1"/>
    </xf>
    <xf numFmtId="178" fontId="38" fillId="0" borderId="1" xfId="0" applyNumberFormat="1" applyFont="1" applyBorder="1" applyAlignment="1" applyProtection="1">
      <alignment vertical="center"/>
      <protection hidden="1"/>
    </xf>
    <xf numFmtId="178" fontId="38" fillId="0" borderId="11" xfId="0" applyNumberFormat="1" applyFont="1" applyBorder="1" applyAlignment="1" applyProtection="1">
      <alignment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10" fontId="38" fillId="0" borderId="4" xfId="1" applyNumberFormat="1" applyFont="1" applyFill="1" applyBorder="1" applyAlignment="1" applyProtection="1">
      <alignment horizontal="right" vertical="center"/>
      <protection hidden="1"/>
    </xf>
    <xf numFmtId="193" fontId="38" fillId="0" borderId="4" xfId="1" applyNumberFormat="1" applyFont="1" applyFill="1" applyBorder="1" applyAlignment="1" applyProtection="1">
      <alignment horizontal="right" vertical="center"/>
      <protection hidden="1"/>
    </xf>
    <xf numFmtId="0" fontId="0" fillId="0" borderId="15" xfId="0" applyBorder="1" applyAlignment="1" applyProtection="1">
      <alignment horizontal="left" vertical="center" wrapText="1"/>
      <protection hidden="1"/>
    </xf>
    <xf numFmtId="0" fontId="0" fillId="0" borderId="51" xfId="0" applyBorder="1" applyAlignment="1" applyProtection="1">
      <alignment horizontal="left" vertical="center" wrapText="1"/>
      <protection hidden="1"/>
    </xf>
    <xf numFmtId="0" fontId="0" fillId="0" borderId="15" xfId="0" applyBorder="1" applyAlignment="1" applyProtection="1">
      <alignment horizontal="left" vertical="center"/>
      <protection hidden="1"/>
    </xf>
    <xf numFmtId="0" fontId="0" fillId="0" borderId="51" xfId="0" applyBorder="1" applyAlignment="1" applyProtection="1">
      <alignment horizontal="left" vertical="center"/>
      <protection hidden="1"/>
    </xf>
    <xf numFmtId="180" fontId="19" fillId="2" borderId="47" xfId="1" applyNumberFormat="1" applyFont="1" applyFill="1" applyBorder="1" applyAlignment="1" applyProtection="1">
      <alignment horizontal="right" vertical="center" shrinkToFit="1"/>
      <protection locked="0" hidden="1"/>
    </xf>
    <xf numFmtId="180" fontId="19" fillId="2" borderId="48" xfId="1" applyNumberFormat="1" applyFont="1" applyFill="1" applyBorder="1" applyAlignment="1" applyProtection="1">
      <alignment horizontal="right" vertical="center" shrinkToFit="1"/>
      <protection locked="0" hidden="1"/>
    </xf>
    <xf numFmtId="180" fontId="19" fillId="2" borderId="49" xfId="1" applyNumberFormat="1" applyFont="1" applyFill="1" applyBorder="1" applyAlignment="1" applyProtection="1">
      <alignment horizontal="right" vertical="center" shrinkToFit="1"/>
      <protection locked="0" hidden="1"/>
    </xf>
    <xf numFmtId="176" fontId="19" fillId="2" borderId="50" xfId="0" applyNumberFormat="1" applyFont="1" applyFill="1" applyBorder="1" applyAlignment="1" applyProtection="1">
      <alignment horizontal="right" vertical="center" shrinkToFit="1"/>
      <protection locked="0" hidden="1"/>
    </xf>
    <xf numFmtId="176" fontId="19" fillId="2" borderId="15" xfId="0" applyNumberFormat="1" applyFont="1" applyFill="1" applyBorder="1" applyAlignment="1" applyProtection="1">
      <alignment horizontal="right" vertical="center" shrinkToFit="1"/>
      <protection locked="0" hidden="1"/>
    </xf>
    <xf numFmtId="176" fontId="19" fillId="2" borderId="51" xfId="0" applyNumberFormat="1" applyFont="1" applyFill="1" applyBorder="1" applyAlignment="1" applyProtection="1">
      <alignment horizontal="right" vertical="center" shrinkToFit="1"/>
      <protection locked="0" hidden="1"/>
    </xf>
    <xf numFmtId="176" fontId="19" fillId="2" borderId="32" xfId="0" applyNumberFormat="1" applyFont="1" applyFill="1" applyBorder="1" applyAlignment="1" applyProtection="1">
      <alignment horizontal="right" vertical="center" shrinkToFit="1"/>
      <protection locked="0" hidden="1"/>
    </xf>
    <xf numFmtId="176" fontId="19" fillId="2" borderId="33" xfId="0" applyNumberFormat="1" applyFont="1" applyFill="1" applyBorder="1" applyAlignment="1" applyProtection="1">
      <alignment horizontal="right" vertical="center" shrinkToFit="1"/>
      <protection locked="0" hidden="1"/>
    </xf>
    <xf numFmtId="176" fontId="19" fillId="2" borderId="34" xfId="0" applyNumberFormat="1" applyFont="1" applyFill="1" applyBorder="1" applyAlignment="1" applyProtection="1">
      <alignment horizontal="right" vertical="center" shrinkToFit="1"/>
      <protection locked="0" hidden="1"/>
    </xf>
    <xf numFmtId="187" fontId="18" fillId="0" borderId="59" xfId="0" applyNumberFormat="1" applyFont="1" applyBorder="1" applyAlignment="1" applyProtection="1">
      <alignment horizontal="left" vertical="center"/>
      <protection hidden="1"/>
    </xf>
    <xf numFmtId="187" fontId="18" fillId="0" borderId="0" xfId="0" applyNumberFormat="1" applyFont="1" applyAlignment="1" applyProtection="1">
      <alignment horizontal="left" vertical="center"/>
      <protection hidden="1"/>
    </xf>
    <xf numFmtId="188" fontId="38" fillId="0" borderId="4" xfId="0" applyNumberFormat="1" applyFont="1" applyBorder="1" applyAlignment="1" applyProtection="1">
      <alignment horizontal="right" vertical="center"/>
      <protection hidden="1"/>
    </xf>
    <xf numFmtId="189" fontId="38" fillId="0" borderId="4" xfId="0" applyNumberFormat="1" applyFont="1" applyBorder="1" applyAlignment="1" applyProtection="1">
      <alignment horizontal="right" vertical="center"/>
      <protection hidden="1"/>
    </xf>
    <xf numFmtId="38" fontId="37" fillId="0" borderId="58" xfId="5" applyFont="1" applyFill="1" applyBorder="1" applyAlignment="1" applyProtection="1">
      <alignment horizontal="center" vertical="top"/>
    </xf>
    <xf numFmtId="185" fontId="27" fillId="4" borderId="57" xfId="5" applyNumberFormat="1" applyFont="1" applyFill="1" applyBorder="1" applyAlignment="1" applyProtection="1">
      <alignment horizontal="center" vertical="center"/>
    </xf>
    <xf numFmtId="185" fontId="27" fillId="4" borderId="101" xfId="5" applyNumberFormat="1" applyFont="1" applyFill="1" applyBorder="1" applyAlignment="1" applyProtection="1">
      <alignment horizontal="center" vertical="center"/>
    </xf>
    <xf numFmtId="38" fontId="27" fillId="0" borderId="52" xfId="5" applyFont="1" applyFill="1" applyBorder="1" applyAlignment="1" applyProtection="1">
      <alignment horizontal="center" vertical="center"/>
    </xf>
    <xf numFmtId="38" fontId="27" fillId="0" borderId="53" xfId="5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top" shrinkToFit="1"/>
    </xf>
    <xf numFmtId="0" fontId="36" fillId="0" borderId="0" xfId="0" applyFont="1"/>
    <xf numFmtId="0" fontId="36" fillId="0" borderId="0" xfId="0" applyFont="1" applyAlignment="1">
      <alignment horizontal="left"/>
    </xf>
    <xf numFmtId="38" fontId="4" fillId="0" borderId="1" xfId="1" applyFont="1" applyFill="1" applyBorder="1" applyAlignment="1"/>
    <xf numFmtId="0" fontId="4" fillId="0" borderId="1" xfId="0" applyFont="1" applyBorder="1"/>
    <xf numFmtId="38" fontId="4" fillId="5" borderId="6" xfId="1" applyFont="1" applyFill="1" applyBorder="1" applyAlignment="1"/>
    <xf numFmtId="38" fontId="4" fillId="5" borderId="5" xfId="1" applyFont="1" applyFill="1" applyBorder="1" applyAlignment="1"/>
    <xf numFmtId="38" fontId="16" fillId="0" borderId="1" xfId="1" applyFont="1" applyFill="1" applyBorder="1" applyAlignment="1"/>
    <xf numFmtId="0" fontId="16" fillId="0" borderId="1" xfId="0" applyFont="1" applyBorder="1"/>
    <xf numFmtId="38" fontId="4" fillId="5" borderId="1" xfId="1" applyFont="1" applyFill="1" applyBorder="1" applyAlignment="1"/>
    <xf numFmtId="0" fontId="4" fillId="5" borderId="1" xfId="0" applyFont="1" applyFill="1" applyBorder="1"/>
    <xf numFmtId="49" fontId="3" fillId="0" borderId="0" xfId="0" applyNumberFormat="1" applyFont="1" applyAlignment="1">
      <alignment horizontal="center" vertical="center" wrapText="1"/>
    </xf>
    <xf numFmtId="0" fontId="3" fillId="0" borderId="1" xfId="0" applyFont="1" applyBorder="1"/>
    <xf numFmtId="0" fontId="3" fillId="0" borderId="6" xfId="0" applyFont="1" applyBorder="1"/>
    <xf numFmtId="0" fontId="3" fillId="0" borderId="15" xfId="0" applyFont="1" applyBorder="1"/>
    <xf numFmtId="0" fontId="3" fillId="0" borderId="5" xfId="0" applyFont="1" applyBorder="1"/>
    <xf numFmtId="38" fontId="4" fillId="0" borderId="6" xfId="1" applyFont="1" applyFill="1" applyBorder="1" applyAlignment="1"/>
    <xf numFmtId="38" fontId="4" fillId="0" borderId="5" xfId="1" applyFont="1" applyFill="1" applyBorder="1" applyAlignment="1"/>
    <xf numFmtId="0" fontId="0" fillId="0" borderId="16" xfId="0" applyBorder="1" applyAlignment="1">
      <alignment horizontal="center"/>
    </xf>
    <xf numFmtId="0" fontId="3" fillId="2" borderId="9" xfId="0" applyFont="1" applyFill="1" applyBorder="1"/>
    <xf numFmtId="0" fontId="0" fillId="2" borderId="3" xfId="0" applyFill="1" applyBorder="1"/>
    <xf numFmtId="177" fontId="1" fillId="0" borderId="42" xfId="1" applyNumberFormat="1" applyFont="1" applyFill="1" applyBorder="1" applyAlignment="1" applyProtection="1">
      <alignment horizontal="center"/>
    </xf>
    <xf numFmtId="177" fontId="1" fillId="0" borderId="43" xfId="1" applyNumberFormat="1" applyFont="1" applyFill="1" applyBorder="1" applyAlignment="1" applyProtection="1">
      <alignment horizontal="center"/>
    </xf>
    <xf numFmtId="0" fontId="3" fillId="7" borderId="19" xfId="0" applyFont="1" applyFill="1" applyBorder="1" applyAlignment="1">
      <alignment horizontal="center" vertical="center"/>
    </xf>
    <xf numFmtId="0" fontId="3" fillId="7" borderId="65" xfId="0" applyFont="1" applyFill="1" applyBorder="1" applyAlignment="1">
      <alignment horizontal="center" vertical="center"/>
    </xf>
    <xf numFmtId="0" fontId="3" fillId="7" borderId="76" xfId="0" applyFont="1" applyFill="1" applyBorder="1" applyAlignment="1">
      <alignment horizontal="center" vertical="center"/>
    </xf>
    <xf numFmtId="0" fontId="3" fillId="7" borderId="77" xfId="0" applyFont="1" applyFill="1" applyBorder="1" applyAlignment="1">
      <alignment horizontal="center" vertical="center"/>
    </xf>
    <xf numFmtId="0" fontId="3" fillId="7" borderId="52" xfId="0" applyFont="1" applyFill="1" applyBorder="1" applyAlignment="1">
      <alignment horizontal="center" vertical="center"/>
    </xf>
    <xf numFmtId="0" fontId="3" fillId="7" borderId="71" xfId="0" applyFont="1" applyFill="1" applyBorder="1" applyAlignment="1">
      <alignment horizontal="center" vertical="center"/>
    </xf>
    <xf numFmtId="0" fontId="3" fillId="8" borderId="52" xfId="0" applyFont="1" applyFill="1" applyBorder="1" applyAlignment="1">
      <alignment horizontal="center" vertical="center"/>
    </xf>
    <xf numFmtId="0" fontId="3" fillId="8" borderId="71" xfId="0" applyFont="1" applyFill="1" applyBorder="1" applyAlignment="1">
      <alignment horizontal="center" vertical="center"/>
    </xf>
    <xf numFmtId="0" fontId="3" fillId="8" borderId="76" xfId="0" applyFont="1" applyFill="1" applyBorder="1" applyAlignment="1">
      <alignment horizontal="center" vertical="center"/>
    </xf>
    <xf numFmtId="0" fontId="3" fillId="8" borderId="77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12" xfId="0" applyBorder="1" applyAlignment="1">
      <alignment vertical="center"/>
    </xf>
    <xf numFmtId="179" fontId="7" fillId="0" borderId="29" xfId="0" applyNumberFormat="1" applyFont="1" applyBorder="1" applyAlignment="1" applyProtection="1">
      <alignment horizontal="center" vertical="center"/>
      <protection locked="0"/>
    </xf>
    <xf numFmtId="179" fontId="7" fillId="0" borderId="30" xfId="0" applyNumberFormat="1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</cellXfs>
  <cellStyles count="7">
    <cellStyle name="パーセント" xfId="6" builtinId="5"/>
    <cellStyle name="桁区切り" xfId="1" builtinId="6"/>
    <cellStyle name="桁区切り 2" xfId="2" xr:uid="{00000000-0005-0000-0000-000002000000}"/>
    <cellStyle name="桁区切り 3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66FFFF"/>
        </patternFill>
      </fill>
    </dxf>
    <dxf>
      <font>
        <b/>
        <i val="0"/>
        <color rgb="FFFF0000"/>
      </font>
      <fill>
        <patternFill>
          <bgColor rgb="FF66FFFF"/>
        </patternFill>
      </fill>
    </dxf>
  </dxfs>
  <tableStyles count="0" defaultTableStyle="TableStyleMedium9" defaultPivotStyle="PivotStyleLight16"/>
  <colors>
    <mruColors>
      <color rgb="FFFF0000"/>
      <color rgb="FF0000FF"/>
      <color rgb="FFCCFFCC"/>
      <color rgb="FFCCFFFF"/>
      <color rgb="FF66FFFF"/>
      <color rgb="FFFFFF99"/>
      <color rgb="FF0066FF"/>
      <color rgb="FFE7FFE7"/>
      <color rgb="FFFF33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6</xdr:row>
      <xdr:rowOff>133350</xdr:rowOff>
    </xdr:from>
    <xdr:to>
      <xdr:col>2</xdr:col>
      <xdr:colOff>19050</xdr:colOff>
      <xdr:row>7</xdr:row>
      <xdr:rowOff>97155</xdr:rowOff>
    </xdr:to>
    <xdr:pic>
      <xdr:nvPicPr>
        <xdr:cNvPr id="4419" name="図 4">
          <a:extLst>
            <a:ext uri="{FF2B5EF4-FFF2-40B4-BE49-F238E27FC236}">
              <a16:creationId xmlns:a16="http://schemas.microsoft.com/office/drawing/2014/main" id="{00000000-0008-0000-0000-000043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76500"/>
          <a:ext cx="3143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266700</xdr:colOff>
      <xdr:row>6</xdr:row>
      <xdr:rowOff>85725</xdr:rowOff>
    </xdr:from>
    <xdr:ext cx="5543549" cy="4572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2450" y="2133600"/>
          <a:ext cx="5543549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Calibri" panose="020F0502020204030204" pitchFamily="34" charset="0"/>
              <a:ea typeface="+mn-ea"/>
            </a:rPr>
            <a:t>４月１日に採用され翌年の３月３１日に退職する場合、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Calibri" panose="020F0502020204030204" pitchFamily="34" charset="0"/>
              <a:ea typeface="+mn-ea"/>
            </a:rPr>
            <a:t>組合員期間は１年と０日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Calibri" panose="020F0502020204030204" pitchFamily="34" charset="0"/>
              <a:ea typeface="+mn-ea"/>
            </a:rPr>
            <a:t>ですので、</a:t>
          </a:r>
          <a:endParaRPr lang="en-US" altLang="ja-JP" sz="1100" b="0" i="0" u="none" strike="noStrike" baseline="0">
            <a:solidFill>
              <a:srgbClr val="FF0000"/>
            </a:solidFill>
            <a:latin typeface="Calibri" panose="020F0502020204030204" pitchFamily="34" charset="0"/>
            <a:ea typeface="+mn-ea"/>
          </a:endParaRPr>
        </a:p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Calibri" panose="020F0502020204030204" pitchFamily="34" charset="0"/>
              <a:ea typeface="+mn-ea"/>
            </a:rPr>
            <a:t>加入要件を満たさず任意継続組合員になることはできません。</a:t>
          </a:r>
        </a:p>
      </xdr:txBody>
    </xdr:sp>
    <xdr:clientData/>
  </xdr:oneCellAnchor>
  <xdr:twoCellAnchor>
    <xdr:from>
      <xdr:col>0</xdr:col>
      <xdr:colOff>133151</xdr:colOff>
      <xdr:row>18</xdr:row>
      <xdr:rowOff>96177</xdr:rowOff>
    </xdr:from>
    <xdr:to>
      <xdr:col>23</xdr:col>
      <xdr:colOff>53340</xdr:colOff>
      <xdr:row>28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36961" y="4995671"/>
          <a:ext cx="5825689" cy="3055025"/>
          <a:chOff x="-5497262" y="5004116"/>
          <a:chExt cx="5394036" cy="3101597"/>
        </a:xfrm>
      </xdr:grpSpPr>
      <xdr:sp macro="" textlink="">
        <xdr:nvSpPr>
          <xdr:cNvPr id="4" name="対角する 2 つの角を丸めた四角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-5497262" y="5310118"/>
            <a:ext cx="5170658" cy="2795595"/>
          </a:xfrm>
          <a:prstGeom prst="round2DiagRect">
            <a:avLst>
              <a:gd name="adj1" fmla="val 5820"/>
              <a:gd name="adj2" fmla="val 0"/>
            </a:avLst>
          </a:prstGeom>
          <a:solidFill>
            <a:srgbClr val="E7FFE7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rtlCol="0" anchor="t"/>
          <a:lstStyle/>
          <a:p>
            <a:endParaRPr lang="ja-JP" altLang="en-US"/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-5414360" y="5379078"/>
            <a:ext cx="5311134" cy="26102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>
              <a:lnSpc>
                <a:spcPts val="1400"/>
              </a:lnSpc>
            </a:pPr>
            <a:r>
              <a:rPr kumimoji="1" lang="ja-JP" altLang="en-US" sz="11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▶</a:t>
            </a:r>
            <a:r>
              <a:rPr kumimoji="1" lang="ja-JP" altLang="en-US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100" b="0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退職時の標準報酬月額</a:t>
            </a:r>
            <a:r>
              <a:rPr kumimoji="1" lang="ja-JP" altLang="en-US" sz="1100" b="0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と、任継上限の標準報酬月額を比べて低い方</a:t>
            </a:r>
            <a:r>
              <a:rPr kumimoji="1" lang="ja-JP" altLang="en-US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で</a:t>
            </a:r>
            <a:r>
              <a:rPr kumimoji="1" lang="ja-JP" altLang="ja-JP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算定されます</a:t>
            </a:r>
            <a:r>
              <a:rPr kumimoji="1" lang="ja-JP" altLang="en-US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。</a:t>
            </a:r>
            <a:endPara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>
              <a:lnSpc>
                <a:spcPts val="1400"/>
              </a:lnSpc>
            </a:pPr>
            <a:r>
              <a:rPr kumimoji="1" lang="ja-JP" altLang="ja-JP" sz="11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▶</a:t>
            </a:r>
            <a:r>
              <a:rPr kumimoji="1" lang="ja-JP" altLang="en-US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短期掛金率及び介護掛金率の改定がある場合は、毎年３月に公表の上、</a:t>
            </a:r>
            <a:r>
              <a:rPr kumimoji="1" lang="ja-JP" altLang="en-US" sz="1100" b="0" baseline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本シートの</a:t>
            </a:r>
            <a:endParaRPr kumimoji="1" lang="en-US" altLang="ja-JP" sz="1100" b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>
              <a:lnSpc>
                <a:spcPts val="1400"/>
              </a:lnSpc>
            </a:pPr>
            <a:r>
              <a:rPr kumimoji="1" lang="ja-JP" altLang="en-US" sz="1100" b="0" baseline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 掛金率も更新します。そのため、</a:t>
            </a:r>
            <a:r>
              <a:rPr kumimoji="1" lang="ja-JP" altLang="en-US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試算時点の掛金額と、</a:t>
            </a:r>
            <a:r>
              <a:rPr kumimoji="1" lang="ja-JP" altLang="ja-JP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実際の掛金額</a:t>
            </a:r>
            <a:r>
              <a:rPr kumimoji="1" lang="ja-JP" altLang="en-US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が</a:t>
            </a:r>
            <a:r>
              <a:rPr kumimoji="1" lang="ja-JP" altLang="ja-JP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異なること</a:t>
            </a:r>
            <a:endPara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>
              <a:lnSpc>
                <a:spcPts val="1400"/>
              </a:lnSpc>
            </a:pPr>
            <a:r>
              <a:rPr kumimoji="1" lang="ja-JP" altLang="en-US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en-US" sz="1100" b="0" baseline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があります</a:t>
            </a:r>
            <a:r>
              <a:rPr kumimoji="1" lang="ja-JP" altLang="en-US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ので、</a:t>
            </a:r>
            <a:r>
              <a:rPr kumimoji="1" lang="ja-JP" altLang="ja-JP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ご了承ください。</a:t>
            </a:r>
            <a:endPara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>
              <a:lnSpc>
                <a:spcPts val="1400"/>
              </a:lnSpc>
            </a:pPr>
            <a:r>
              <a:rPr kumimoji="1" lang="ja-JP" altLang="en-US" sz="11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▶</a:t>
            </a:r>
            <a:r>
              <a:rPr kumimoji="1" lang="ja-JP" altLang="en-US" sz="1100" b="0">
                <a:solidFill>
                  <a:schemeClr val="dk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任意継続掛金は年度を超えての払込みはできません。</a:t>
            </a:r>
            <a:endPara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>
              <a:lnSpc>
                <a:spcPts val="1400"/>
              </a:lnSpc>
            </a:pPr>
            <a:r>
              <a:rPr kumimoji="1" lang="ja-JP" altLang="en-US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　　　</a:t>
            </a:r>
            <a:r>
              <a:rPr kumimoji="1" lang="en-US" altLang="ja-JP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【</a:t>
            </a:r>
            <a:r>
              <a:rPr kumimoji="1" lang="ja-JP" altLang="en-US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月払いの方</a:t>
            </a:r>
            <a:r>
              <a:rPr kumimoji="1" lang="en-US" altLang="ja-JP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】</a:t>
            </a:r>
          </a:p>
          <a:p>
            <a:pPr>
              <a:lnSpc>
                <a:spcPts val="1400"/>
              </a:lnSpc>
            </a:pPr>
            <a:r>
              <a:rPr kumimoji="1" lang="ja-JP" altLang="en-US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　　　　①に表示の金額を毎月払込みいただきます。</a:t>
            </a:r>
            <a:endPara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endParaRPr>
          </a:p>
          <a:p>
            <a:pPr>
              <a:lnSpc>
                <a:spcPts val="1400"/>
              </a:lnSpc>
            </a:pPr>
            <a:r>
              <a:rPr kumimoji="1" lang="ja-JP" altLang="en-US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　　　</a:t>
            </a:r>
            <a:r>
              <a:rPr kumimoji="1" lang="en-US" altLang="ja-JP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【</a:t>
            </a:r>
            <a:r>
              <a:rPr kumimoji="1" lang="ja-JP" altLang="en-US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半年払いの方</a:t>
            </a:r>
            <a:r>
              <a:rPr kumimoji="1" lang="en-US" altLang="ja-JP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】</a:t>
            </a:r>
          </a:p>
          <a:p>
            <a:pPr rtl="0"/>
            <a:r>
              <a:rPr kumimoji="1" lang="ja-JP" altLang="en-US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　　　　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②に表示の金額はご退職から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9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月までの掛金額です。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+mn-ea"/>
            </a:endParaRPr>
          </a:p>
          <a:p>
            <a:pPr rtl="0"/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　　　　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※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　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9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月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1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+mn-ea"/>
              </a:rPr>
              <a:t>日以降退職の場合はご退職から年度末までの掛金額</a:t>
            </a:r>
          </a:p>
          <a:p>
            <a:pPr>
              <a:lnSpc>
                <a:spcPts val="1400"/>
              </a:lnSpc>
            </a:pPr>
            <a:r>
              <a:rPr kumimoji="1" lang="ja-JP" altLang="en-US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　　　</a:t>
            </a:r>
            <a:r>
              <a:rPr kumimoji="1" lang="en-US" altLang="ja-JP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【</a:t>
            </a:r>
            <a:r>
              <a:rPr kumimoji="1" lang="ja-JP" altLang="en-US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年払いの方</a:t>
            </a:r>
            <a:r>
              <a:rPr kumimoji="1" lang="en-US" altLang="ja-JP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】</a:t>
            </a:r>
          </a:p>
          <a:p>
            <a:pPr>
              <a:lnSpc>
                <a:spcPts val="1400"/>
              </a:lnSpc>
            </a:pPr>
            <a:r>
              <a:rPr kumimoji="1" lang="ja-JP" altLang="en-US" sz="1100" b="0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　　　　③に表示の金額は、任継加入月から年度末までの掛金額です。</a:t>
            </a:r>
            <a:endPara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endParaRPr>
          </a:p>
          <a:p>
            <a:pPr rtl="0"/>
            <a:r>
              <a:rPr lang="ja-JP" altLang="en-US" sz="12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 </a:t>
            </a:r>
            <a:r>
              <a:rPr lang="ja-JP" altLang="en-US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実際の請求では、初回の任継加入月分の掛金が月払いとなることがあります。</a:t>
            </a:r>
            <a:endPara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-3878333" y="5004116"/>
            <a:ext cx="2609850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solidFill>
                  <a:srgbClr val="0066FF"/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～　試算結果の注意事項　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V218"/>
  <sheetViews>
    <sheetView showGridLines="0" tabSelected="1" view="pageBreakPreview" zoomScale="115" zoomScaleNormal="100" zoomScaleSheetLayoutView="115" zoomScalePageLayoutView="70" workbookViewId="0">
      <selection activeCell="B9" sqref="B9:V9"/>
    </sheetView>
  </sheetViews>
  <sheetFormatPr defaultColWidth="0" defaultRowHeight="0" customHeight="1" zeroHeight="1"/>
  <cols>
    <col min="1" max="22" width="3.77734375" style="5" customWidth="1"/>
    <col min="23" max="23" width="3.77734375" style="6" customWidth="1"/>
    <col min="24" max="24" width="1.88671875" style="6" customWidth="1"/>
    <col min="25" max="31" width="9" style="6" hidden="1" customWidth="1"/>
    <col min="32" max="16384" width="9" style="6" hidden="1"/>
  </cols>
  <sheetData>
    <row r="1" spans="1:256" ht="21">
      <c r="A1" s="158" t="s">
        <v>137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IV1" s="5"/>
    </row>
    <row r="2" spans="1:256" ht="14.4">
      <c r="B2" s="160" t="s">
        <v>138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AA2" s="65"/>
      <c r="IV2" s="5"/>
    </row>
    <row r="3" spans="1:256" ht="36" customHeight="1" thickBot="1">
      <c r="B3" s="159" t="s">
        <v>124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IV3" s="5"/>
    </row>
    <row r="4" spans="1:256" ht="30" customHeight="1" thickTop="1">
      <c r="B4" s="54" t="s">
        <v>94</v>
      </c>
      <c r="C4" s="190" t="s">
        <v>125</v>
      </c>
      <c r="D4" s="190"/>
      <c r="E4" s="190"/>
      <c r="F4" s="190"/>
      <c r="G4" s="190"/>
      <c r="H4" s="190"/>
      <c r="I4" s="190"/>
      <c r="J4" s="190"/>
      <c r="K4" s="190"/>
      <c r="L4" s="191"/>
      <c r="M4" s="194">
        <v>555555</v>
      </c>
      <c r="N4" s="195"/>
      <c r="O4" s="195"/>
      <c r="P4" s="196"/>
      <c r="Q4" s="63"/>
      <c r="R4" s="64"/>
      <c r="S4" s="64"/>
      <c r="W4" s="5"/>
      <c r="X4" s="5"/>
      <c r="Y4" s="5"/>
      <c r="Z4" s="5"/>
      <c r="AA4" s="5"/>
      <c r="AB4" s="5"/>
      <c r="AC4" s="5"/>
    </row>
    <row r="5" spans="1:256" ht="30" customHeight="1">
      <c r="B5" s="54" t="s">
        <v>95</v>
      </c>
      <c r="C5" s="192" t="s">
        <v>96</v>
      </c>
      <c r="D5" s="192"/>
      <c r="E5" s="192"/>
      <c r="F5" s="192"/>
      <c r="G5" s="192"/>
      <c r="H5" s="192"/>
      <c r="I5" s="192"/>
      <c r="J5" s="192"/>
      <c r="K5" s="192"/>
      <c r="L5" s="193"/>
      <c r="M5" s="197">
        <v>29346</v>
      </c>
      <c r="N5" s="198"/>
      <c r="O5" s="198"/>
      <c r="P5" s="199"/>
      <c r="Q5" s="203"/>
      <c r="R5" s="204"/>
      <c r="S5" s="204"/>
      <c r="W5" s="5"/>
      <c r="X5" s="5"/>
      <c r="Y5" s="5"/>
      <c r="Z5" s="5"/>
      <c r="AA5" s="5"/>
      <c r="AB5" s="5"/>
      <c r="AC5" s="5"/>
    </row>
    <row r="6" spans="1:256" ht="30" customHeight="1" thickBot="1">
      <c r="B6" s="7" t="s">
        <v>93</v>
      </c>
      <c r="C6" s="192" t="s">
        <v>126</v>
      </c>
      <c r="D6" s="192"/>
      <c r="E6" s="192"/>
      <c r="F6" s="192"/>
      <c r="G6" s="192"/>
      <c r="H6" s="192"/>
      <c r="I6" s="192"/>
      <c r="J6" s="192"/>
      <c r="K6" s="192"/>
      <c r="L6" s="193"/>
      <c r="M6" s="200">
        <v>45747</v>
      </c>
      <c r="N6" s="201"/>
      <c r="O6" s="201"/>
      <c r="P6" s="202"/>
      <c r="Q6" s="203"/>
      <c r="R6" s="204"/>
      <c r="S6" s="204"/>
      <c r="W6" s="5"/>
      <c r="X6" s="5"/>
      <c r="Y6" s="5"/>
      <c r="Z6" s="5"/>
      <c r="AA6" s="5"/>
      <c r="AB6" s="5"/>
      <c r="AC6" s="5"/>
    </row>
    <row r="7" spans="1:256" ht="24.9" customHeight="1" thickTop="1">
      <c r="B7" s="8"/>
      <c r="E7" s="9"/>
      <c r="F7" s="9"/>
      <c r="G7" s="9"/>
      <c r="H7" s="9"/>
      <c r="U7" s="6"/>
      <c r="V7" s="6"/>
      <c r="IU7" s="5"/>
      <c r="IV7" s="5"/>
    </row>
    <row r="8" spans="1:256" ht="24.9" customHeight="1">
      <c r="E8" s="10"/>
      <c r="F8" s="10"/>
      <c r="G8" s="10"/>
      <c r="H8" s="10"/>
      <c r="I8" s="10"/>
    </row>
    <row r="9" spans="1:256" ht="21">
      <c r="B9" s="182" t="s">
        <v>100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</row>
    <row r="10" spans="1:256" ht="7.5" customHeight="1">
      <c r="C10" s="10"/>
      <c r="D10" s="10"/>
      <c r="E10" s="10"/>
      <c r="F10" s="10"/>
      <c r="G10" s="10"/>
      <c r="H10" s="10"/>
      <c r="I10" s="10"/>
    </row>
    <row r="11" spans="1:256" ht="7.5" hidden="1" customHeight="1">
      <c r="C11" s="10"/>
      <c r="D11" s="10"/>
      <c r="E11" s="10"/>
      <c r="F11" s="10"/>
      <c r="G11" s="10"/>
      <c r="H11" s="10"/>
      <c r="I11" s="10"/>
    </row>
    <row r="12" spans="1:256" ht="23.25" customHeight="1">
      <c r="C12" s="10"/>
      <c r="D12" s="10"/>
      <c r="E12" s="186" t="s">
        <v>127</v>
      </c>
      <c r="F12" s="186"/>
      <c r="G12" s="186"/>
      <c r="H12" s="186"/>
      <c r="I12" s="205">
        <f>【更新不要】試算基!C18</f>
        <v>340000</v>
      </c>
      <c r="J12" s="205"/>
      <c r="K12" s="205"/>
      <c r="L12" s="205"/>
      <c r="M12" s="205"/>
      <c r="N12" s="187" t="s">
        <v>139</v>
      </c>
      <c r="O12" s="186"/>
      <c r="P12" s="186"/>
      <c r="Q12" s="186"/>
      <c r="R12" s="206">
        <f>【更新要】掛金早見表!H1</f>
        <v>340000</v>
      </c>
      <c r="S12" s="206"/>
      <c r="T12" s="206"/>
      <c r="U12" s="206"/>
      <c r="V12" s="206"/>
    </row>
    <row r="13" spans="1:256" ht="23.25" customHeight="1" thickBot="1">
      <c r="B13" s="175"/>
      <c r="C13" s="176"/>
      <c r="D13" s="177"/>
      <c r="E13" s="187" t="s">
        <v>140</v>
      </c>
      <c r="F13" s="186"/>
      <c r="G13" s="186"/>
      <c r="H13" s="186"/>
      <c r="I13" s="188">
        <f>【更新要】掛金早見表!D4/1000</f>
        <v>9.2599999999999988E-2</v>
      </c>
      <c r="J13" s="188"/>
      <c r="K13" s="188"/>
      <c r="L13" s="188"/>
      <c r="M13" s="188"/>
      <c r="N13" s="187" t="s">
        <v>141</v>
      </c>
      <c r="O13" s="186"/>
      <c r="P13" s="186"/>
      <c r="Q13" s="186"/>
      <c r="R13" s="189">
        <f>【更新要】掛金早見表!D41/1000</f>
        <v>1.7899999999999999E-2</v>
      </c>
      <c r="S13" s="189"/>
      <c r="T13" s="189"/>
      <c r="U13" s="189"/>
      <c r="V13" s="189"/>
      <c r="W13" s="5"/>
      <c r="X13" s="5"/>
      <c r="Y13" s="5"/>
      <c r="Z13" s="5"/>
      <c r="AA13" s="5"/>
      <c r="AB13" s="5"/>
      <c r="AC13" s="5"/>
      <c r="AD13" s="5"/>
      <c r="AE13" s="5"/>
      <c r="IT13" s="5"/>
      <c r="IU13" s="5"/>
      <c r="IV13" s="5"/>
    </row>
    <row r="14" spans="1:256" ht="15" thickTop="1">
      <c r="B14" s="178"/>
      <c r="C14" s="179"/>
      <c r="D14" s="179"/>
      <c r="E14" s="167" t="s">
        <v>97</v>
      </c>
      <c r="F14" s="168"/>
      <c r="G14" s="168"/>
      <c r="H14" s="168"/>
      <c r="I14" s="168"/>
      <c r="J14" s="169"/>
      <c r="K14" s="170" t="s">
        <v>98</v>
      </c>
      <c r="L14" s="171"/>
      <c r="M14" s="171"/>
      <c r="N14" s="171"/>
      <c r="O14" s="171"/>
      <c r="P14" s="172"/>
      <c r="Q14" s="170" t="s">
        <v>99</v>
      </c>
      <c r="R14" s="171"/>
      <c r="S14" s="171"/>
      <c r="T14" s="171"/>
      <c r="U14" s="171"/>
      <c r="V14" s="172"/>
      <c r="W14" s="5"/>
      <c r="X14" s="5"/>
      <c r="Y14" s="5"/>
      <c r="Z14" s="5"/>
      <c r="AA14" s="5"/>
      <c r="AB14" s="5"/>
      <c r="AC14" s="5"/>
      <c r="AD14" s="5"/>
      <c r="AE14" s="5"/>
    </row>
    <row r="15" spans="1:256" ht="13.2">
      <c r="B15" s="180"/>
      <c r="C15" s="181"/>
      <c r="D15" s="181"/>
      <c r="E15" s="164" t="str">
        <f>"【今年度介護掛金有無】"&amp;CHAR(10)&amp;IF(N15=0,"介護なし",IF(AND(N15&gt;0,K15-N15=0),"介護あり","一部介護あり"))</f>
        <v>【今年度介護掛金有無】
介護あり</v>
      </c>
      <c r="F15" s="165"/>
      <c r="G15" s="165"/>
      <c r="H15" s="165"/>
      <c r="I15" s="165"/>
      <c r="J15" s="166"/>
      <c r="K15" s="142">
        <f>【更新不要】試算基!R38</f>
        <v>6</v>
      </c>
      <c r="L15" s="143"/>
      <c r="M15" s="143"/>
      <c r="N15" s="144">
        <f>【更新不要】試算基!V38</f>
        <v>6</v>
      </c>
      <c r="O15" s="144"/>
      <c r="P15" s="145"/>
      <c r="Q15" s="142">
        <f>【更新不要】試算基!R39</f>
        <v>12</v>
      </c>
      <c r="R15" s="143">
        <f>【更新不要】試算基!V39</f>
        <v>12</v>
      </c>
      <c r="S15" s="143"/>
      <c r="T15" s="144">
        <f>【更新不要】試算基!V39</f>
        <v>12</v>
      </c>
      <c r="U15" s="144"/>
      <c r="V15" s="145"/>
      <c r="W15" s="5"/>
      <c r="X15" s="5"/>
      <c r="Y15" s="5"/>
      <c r="Z15" s="5"/>
      <c r="AA15" s="5"/>
      <c r="AB15" s="5"/>
      <c r="AC15" s="5"/>
      <c r="AD15" s="5"/>
      <c r="AE15" s="5"/>
    </row>
    <row r="16" spans="1:256" ht="24" customHeight="1">
      <c r="B16" s="139" t="s">
        <v>101</v>
      </c>
      <c r="C16" s="140"/>
      <c r="D16" s="140"/>
      <c r="E16" s="183">
        <f>VLOOKUP(【更新不要】試算基!C18,【更新要】掛金早見表!$C$5:$E$33,2,1)</f>
        <v>31484</v>
      </c>
      <c r="F16" s="184"/>
      <c r="G16" s="184"/>
      <c r="H16" s="184"/>
      <c r="I16" s="184"/>
      <c r="J16" s="185"/>
      <c r="K16" s="146">
        <f>INDEX(【更新要】掛金早見表!F5:Q33,MATCH(【更新不要】試算基!C18,【更新要】掛金早見表!C5:C33,0),MATCH(K15,【更新要】掛金早見表!F3:Q3,0))</f>
        <v>186758</v>
      </c>
      <c r="L16" s="147"/>
      <c r="M16" s="147"/>
      <c r="N16" s="147"/>
      <c r="O16" s="147"/>
      <c r="P16" s="148"/>
      <c r="Q16" s="146">
        <f>INDEX(【更新要】掛金早見表!F5:Q33,MATCH(【更新不要】試算基!C18,【更新要】掛金早見表!C5:C33,0),MATCH(Q15,【更新要】掛金早見表!F3:Q3,0))</f>
        <v>369890</v>
      </c>
      <c r="R16" s="147"/>
      <c r="S16" s="147"/>
      <c r="T16" s="147"/>
      <c r="U16" s="147"/>
      <c r="V16" s="148"/>
      <c r="W16" s="5"/>
      <c r="X16" s="5"/>
      <c r="Y16" s="5"/>
      <c r="Z16" s="5"/>
      <c r="AA16" s="5"/>
      <c r="AB16" s="5"/>
      <c r="AC16" s="5"/>
      <c r="AD16" s="5"/>
      <c r="AE16" s="5"/>
    </row>
    <row r="17" spans="2:256" ht="24" customHeight="1" thickBot="1">
      <c r="B17" s="173" t="s">
        <v>6</v>
      </c>
      <c r="C17" s="174"/>
      <c r="D17" s="174"/>
      <c r="E17" s="161">
        <f>IF(【更新不要】試算基!A24="1",VLOOKUP(【更新不要】試算基!C18,【更新要】掛金早見表!$C$42:$E$70,2,1),0)</f>
        <v>6086</v>
      </c>
      <c r="F17" s="162"/>
      <c r="G17" s="162"/>
      <c r="H17" s="162"/>
      <c r="I17" s="162"/>
      <c r="J17" s="163"/>
      <c r="K17" s="149">
        <f>IF(ISERROR(IF(【更新不要】試算基!V38&gt;0,INDEX(【更新要】掛金早見表!F42:Q70,MATCH(【更新不要】試算基!C18,【更新要】掛金早見表!C42:C70,0),MATCH(N15,【更新要】掛金早見表!F40:Q40,0)),0)),0,IF(【更新不要】試算基!V38&gt;0,INDEX(【更新要】掛金早見表!F42:Q70,MATCH(【更新不要】試算基!C18,【更新要】掛金早見表!C42:C70,0),MATCH(N15,【更新要】掛金早見表!F40:Q40,0)),0))</f>
        <v>36101</v>
      </c>
      <c r="L17" s="150"/>
      <c r="M17" s="150"/>
      <c r="N17" s="150"/>
      <c r="O17" s="150"/>
      <c r="P17" s="151"/>
      <c r="Q17" s="149">
        <f>IF(ISERROR(IF(【更新不要】試算基!V39&gt;0,INDEX(【更新要】掛金早見表!F42:Q70,MATCH(【更新不要】試算基!C18,【更新要】掛金早見表!C42:C70,0),MATCH(R15,【更新要】掛金早見表!F40:Q40,0)),0)),0,IF(【更新不要】試算基!V39&gt;0,INDEX(【更新要】掛金早見表!F42:Q70,MATCH(【更新不要】試算基!C18,【更新要】掛金早見表!C42:C70,0),MATCH(R15,【更新要】掛金早見表!F40:Q40,0)),0))</f>
        <v>71501</v>
      </c>
      <c r="R17" s="150"/>
      <c r="S17" s="150"/>
      <c r="T17" s="150"/>
      <c r="U17" s="150"/>
      <c r="V17" s="151"/>
      <c r="W17" s="5"/>
      <c r="X17" s="5"/>
      <c r="Y17" s="5"/>
      <c r="Z17" s="5"/>
      <c r="AA17" s="5"/>
      <c r="AB17" s="5"/>
      <c r="AC17" s="5"/>
      <c r="AD17" s="5"/>
      <c r="AE17" s="5"/>
    </row>
    <row r="18" spans="2:256" ht="24" customHeight="1" thickTop="1" thickBot="1">
      <c r="B18" s="139" t="s">
        <v>51</v>
      </c>
      <c r="C18" s="140"/>
      <c r="D18" s="141"/>
      <c r="E18" s="155">
        <f>SUM(E16:E17)</f>
        <v>37570</v>
      </c>
      <c r="F18" s="156"/>
      <c r="G18" s="156"/>
      <c r="H18" s="156"/>
      <c r="I18" s="156"/>
      <c r="J18" s="157"/>
      <c r="K18" s="152">
        <f>SUM(K16:K17)</f>
        <v>222859</v>
      </c>
      <c r="L18" s="153"/>
      <c r="M18" s="153"/>
      <c r="N18" s="153"/>
      <c r="O18" s="153"/>
      <c r="P18" s="154"/>
      <c r="Q18" s="152">
        <f>SUM(Q16:Q17)</f>
        <v>441391</v>
      </c>
      <c r="R18" s="153"/>
      <c r="S18" s="153"/>
      <c r="T18" s="153"/>
      <c r="U18" s="153"/>
      <c r="V18" s="154"/>
      <c r="W18" s="5"/>
      <c r="X18" s="5"/>
      <c r="Y18" s="5"/>
      <c r="Z18" s="5"/>
      <c r="AA18" s="5"/>
      <c r="AB18" s="5"/>
      <c r="AC18" s="5"/>
      <c r="AD18" s="5"/>
      <c r="AE18" s="5"/>
    </row>
    <row r="19" spans="2:256" ht="24.9" customHeight="1" thickTop="1">
      <c r="D19" s="11"/>
      <c r="E19" s="11"/>
    </row>
    <row r="20" spans="2:256" ht="24.9" customHeight="1">
      <c r="D20" s="11"/>
      <c r="E20" s="11"/>
    </row>
    <row r="21" spans="2:256" ht="24.9" customHeight="1">
      <c r="D21" s="11"/>
      <c r="E21" s="11"/>
    </row>
    <row r="22" spans="2:256" ht="24.9" customHeight="1">
      <c r="D22" s="11"/>
      <c r="E22" s="11"/>
    </row>
    <row r="23" spans="2:256" ht="24.9" customHeight="1">
      <c r="D23" s="11"/>
      <c r="E23" s="11"/>
    </row>
    <row r="24" spans="2:256" ht="24.9" customHeight="1">
      <c r="D24" s="11"/>
      <c r="E24" s="11"/>
    </row>
    <row r="25" spans="2:256" ht="24.9" customHeight="1">
      <c r="D25" s="11"/>
      <c r="E25" s="11"/>
    </row>
    <row r="26" spans="2:256" ht="24.9" customHeight="1">
      <c r="D26" s="11"/>
      <c r="E26" s="11"/>
    </row>
    <row r="27" spans="2:256" ht="24.9" customHeight="1">
      <c r="D27" s="11"/>
      <c r="E27" s="11"/>
    </row>
    <row r="28" spans="2:256" ht="24.9" customHeight="1">
      <c r="D28" s="11"/>
      <c r="E28" s="11"/>
    </row>
    <row r="29" spans="2:256" ht="24.9" hidden="1" customHeight="1">
      <c r="D29" s="11"/>
      <c r="E29" s="11"/>
    </row>
    <row r="30" spans="2:256" ht="24.9" hidden="1" customHeight="1">
      <c r="D30" s="11"/>
      <c r="E30" s="11"/>
    </row>
    <row r="31" spans="2:256" ht="24.9" hidden="1" customHeight="1"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2:256" ht="24.9" hidden="1" customHeight="1"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23:256" ht="24.9" hidden="1" customHeight="1"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23:256" ht="24.9" hidden="1" customHeight="1"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23:256" ht="24.9" hidden="1" customHeight="1"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23:256" ht="24.9" hidden="1" customHeight="1"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23:256" ht="24.9" hidden="1" customHeight="1"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23:256" ht="24.9" hidden="1" customHeight="1"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23:256" ht="24.9" hidden="1" customHeight="1"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23:256" ht="24.9" hidden="1" customHeight="1"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23:256" ht="24.9" hidden="1" customHeight="1"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23:256" ht="24.9" hidden="1" customHeight="1"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23:256" ht="24.9" hidden="1" customHeight="1"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23:256" ht="24.9" hidden="1" customHeight="1"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23:256" ht="24.9" hidden="1" customHeight="1"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23:256" ht="24.9" hidden="1" customHeight="1"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23:256" ht="24.9" hidden="1" customHeight="1"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23:256" ht="24.9" hidden="1" customHeight="1"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pans="23:256" ht="24.9" hidden="1" customHeight="1"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pans="23:256" ht="24.9" hidden="1" customHeight="1"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23:256" ht="24.9" hidden="1" customHeight="1"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pans="23:256" ht="24.9" hidden="1" customHeight="1"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pans="23:256" ht="24.9" hidden="1" customHeight="1"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pans="23:256" ht="24.9" hidden="1" customHeight="1"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pans="23:256" ht="24.9" hidden="1" customHeight="1"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pans="23:256" ht="24.9" hidden="1" customHeight="1"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pans="23:256" ht="24.9" hidden="1" customHeight="1"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pans="23:256" ht="24.9" hidden="1" customHeight="1"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23:256" ht="24.9" hidden="1" customHeight="1"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</row>
    <row r="60" spans="23:256" ht="24.9" hidden="1" customHeight="1"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</row>
    <row r="61" spans="23:256" ht="24.9" hidden="1" customHeight="1"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</row>
    <row r="62" spans="23:256" ht="24.9" hidden="1" customHeight="1"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</row>
    <row r="63" spans="23:256" ht="24.9" hidden="1" customHeight="1"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</row>
    <row r="64" spans="23:256" ht="24.9" hidden="1" customHeight="1"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</row>
    <row r="65" spans="23:256" ht="24.9" hidden="1" customHeight="1"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</row>
    <row r="66" spans="23:256" ht="24.9" hidden="1" customHeight="1"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</row>
    <row r="67" spans="23:256" ht="24.9" hidden="1" customHeight="1"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</row>
    <row r="68" spans="23:256" ht="24.9" hidden="1" customHeight="1"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</row>
    <row r="69" spans="23:256" ht="24.9" hidden="1" customHeight="1"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</row>
    <row r="70" spans="23:256" ht="24.9" hidden="1" customHeight="1"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</row>
    <row r="71" spans="23:256" ht="24.9" hidden="1" customHeight="1"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</row>
    <row r="72" spans="23:256" ht="24.9" hidden="1" customHeight="1"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pans="23:256" ht="24.9" hidden="1" customHeight="1"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pans="23:256" ht="24.9" hidden="1" customHeight="1"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  <row r="75" spans="23:256" ht="24.9" hidden="1" customHeight="1"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</row>
    <row r="76" spans="23:256" ht="24.9" hidden="1" customHeight="1"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spans="23:256" ht="24.9" hidden="1" customHeight="1"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</row>
    <row r="78" spans="23:256" ht="24.9" hidden="1" customHeight="1"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pans="23:256" ht="24.9" hidden="1" customHeight="1"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</row>
    <row r="80" spans="23:256" ht="24.9" hidden="1" customHeight="1"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</row>
    <row r="81" spans="23:256" ht="24.9" hidden="1" customHeight="1"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</row>
    <row r="82" spans="23:256" ht="24.9" hidden="1" customHeight="1"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</row>
    <row r="83" spans="23:256" ht="24.9" hidden="1" customHeight="1"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</row>
    <row r="84" spans="23:256" ht="24.9" hidden="1" customHeight="1"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</row>
    <row r="85" spans="23:256" ht="24.9" hidden="1" customHeight="1"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</row>
    <row r="86" spans="23:256" ht="24.9" hidden="1" customHeight="1"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</row>
    <row r="87" spans="23:256" ht="24.9" hidden="1" customHeight="1"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</row>
    <row r="88" spans="23:256" ht="24.9" hidden="1" customHeight="1"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</row>
    <row r="89" spans="23:256" ht="24.9" hidden="1" customHeight="1"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</row>
    <row r="90" spans="23:256" ht="24.9" hidden="1" customHeight="1"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</row>
    <row r="91" spans="23:256" ht="24.9" hidden="1" customHeight="1"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</row>
    <row r="92" spans="23:256" ht="24.9" hidden="1" customHeight="1"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</row>
    <row r="93" spans="23:256" ht="24.9" hidden="1" customHeight="1"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pans="23:256" ht="24.9" hidden="1" customHeight="1"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</row>
    <row r="95" spans="23:256" ht="24.9" hidden="1" customHeight="1"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</row>
    <row r="96" spans="23:256" ht="24.9" hidden="1" customHeight="1"/>
    <row r="97" ht="24.9" hidden="1" customHeight="1"/>
    <row r="98" ht="24.9" hidden="1" customHeight="1"/>
    <row r="99" ht="24.9" hidden="1" customHeight="1"/>
    <row r="100" ht="24.9" hidden="1" customHeight="1"/>
    <row r="101" ht="24.9" hidden="1" customHeight="1"/>
    <row r="102" ht="24.9" hidden="1" customHeight="1"/>
    <row r="103" ht="24.9" hidden="1" customHeight="1"/>
    <row r="104" ht="24.9" hidden="1" customHeight="1"/>
    <row r="105" ht="24.9" hidden="1" customHeight="1"/>
    <row r="106" ht="24.9" hidden="1" customHeight="1"/>
    <row r="107" ht="24.9" hidden="1" customHeight="1"/>
    <row r="108" ht="24.9" hidden="1" customHeight="1"/>
    <row r="109" ht="24.9" hidden="1" customHeight="1"/>
    <row r="110" ht="24.9" hidden="1" customHeight="1"/>
    <row r="111" ht="24.9" hidden="1" customHeight="1"/>
    <row r="112" ht="24.9" hidden="1" customHeight="1"/>
    <row r="113" ht="24.9" hidden="1" customHeight="1"/>
    <row r="114" ht="24.9" hidden="1" customHeight="1"/>
    <row r="115" ht="24.9" hidden="1" customHeight="1"/>
    <row r="116" ht="24.9" hidden="1" customHeight="1"/>
    <row r="117" ht="24.9" hidden="1" customHeight="1"/>
    <row r="118" ht="24.9" hidden="1" customHeight="1"/>
    <row r="119" ht="24.9" hidden="1" customHeight="1"/>
    <row r="120" ht="24.9" hidden="1" customHeight="1"/>
    <row r="121" ht="24.9" hidden="1" customHeight="1"/>
    <row r="122" ht="24.9" hidden="1" customHeight="1"/>
    <row r="123" ht="24.9" hidden="1" customHeight="1"/>
    <row r="124" ht="24.9" hidden="1" customHeight="1"/>
    <row r="125" ht="24.9" hidden="1" customHeight="1"/>
    <row r="126" ht="24.9" hidden="1" customHeight="1"/>
    <row r="127" ht="24.9" hidden="1" customHeight="1"/>
    <row r="128" ht="24.9" hidden="1" customHeight="1"/>
    <row r="129" ht="24.9" hidden="1" customHeight="1"/>
    <row r="130" ht="24.9" hidden="1" customHeight="1"/>
    <row r="131" ht="24.9" hidden="1" customHeight="1"/>
    <row r="132" ht="24.9" hidden="1" customHeight="1"/>
    <row r="133" ht="24.9" hidden="1" customHeight="1"/>
    <row r="134" ht="24.9" hidden="1" customHeight="1"/>
    <row r="135" ht="24.9" hidden="1" customHeight="1"/>
    <row r="136" ht="24.9" hidden="1" customHeight="1"/>
    <row r="137" ht="24.9" hidden="1" customHeight="1"/>
    <row r="138" ht="24.9" hidden="1" customHeight="1"/>
    <row r="139" ht="24.9" hidden="1" customHeight="1"/>
    <row r="140" ht="24.9" hidden="1" customHeight="1"/>
    <row r="141" ht="24.9" hidden="1" customHeight="1"/>
    <row r="142" ht="24.9" hidden="1" customHeight="1"/>
    <row r="143" ht="24.9" hidden="1" customHeight="1"/>
    <row r="144" ht="24.9" hidden="1" customHeight="1"/>
    <row r="145" ht="24.9" hidden="1" customHeight="1"/>
    <row r="146" ht="24.9" hidden="1" customHeight="1"/>
    <row r="147" ht="24.9" hidden="1" customHeight="1"/>
    <row r="148" ht="24.9" hidden="1" customHeight="1"/>
    <row r="149" ht="24.9" hidden="1" customHeight="1"/>
    <row r="150" ht="24.9" hidden="1" customHeight="1"/>
    <row r="151" ht="24.9" hidden="1" customHeight="1"/>
    <row r="152" ht="24.9" hidden="1" customHeight="1"/>
    <row r="153" ht="24.9" hidden="1" customHeight="1"/>
    <row r="154" ht="24.9" hidden="1" customHeight="1"/>
    <row r="155" ht="24.9" hidden="1" customHeight="1"/>
    <row r="156" ht="24.9" hidden="1" customHeight="1"/>
    <row r="157" ht="24.9" hidden="1" customHeight="1"/>
    <row r="158" ht="24.9" hidden="1" customHeight="1"/>
    <row r="159" ht="24.9" hidden="1" customHeight="1"/>
    <row r="160" ht="24.9" hidden="1" customHeight="1"/>
    <row r="161" ht="24.9" hidden="1" customHeight="1"/>
    <row r="162" ht="24.9" hidden="1" customHeight="1"/>
    <row r="163" ht="24.9" hidden="1" customHeight="1"/>
    <row r="164" ht="24.9" hidden="1" customHeight="1"/>
    <row r="165" ht="24.9" hidden="1" customHeight="1"/>
    <row r="166" ht="24.9" hidden="1" customHeight="1"/>
    <row r="167" ht="24.9" hidden="1" customHeight="1"/>
    <row r="168" ht="24.9" hidden="1" customHeight="1"/>
    <row r="169" ht="24.9" hidden="1" customHeight="1"/>
    <row r="170" ht="24.9" hidden="1" customHeight="1"/>
    <row r="171" ht="24.9" hidden="1" customHeight="1"/>
    <row r="172" ht="24.9" hidden="1" customHeight="1"/>
    <row r="173" ht="24.9" hidden="1" customHeight="1"/>
    <row r="174" ht="24.9" hidden="1" customHeight="1"/>
    <row r="175" ht="24.9" hidden="1" customHeight="1"/>
    <row r="176" ht="24.9" hidden="1" customHeight="1"/>
    <row r="177" ht="24.9" hidden="1" customHeight="1"/>
    <row r="178" ht="24.9" hidden="1" customHeight="1"/>
    <row r="179" ht="24.9" hidden="1" customHeight="1"/>
    <row r="180" ht="24.9" hidden="1" customHeight="1"/>
    <row r="181" ht="24.9" hidden="1" customHeight="1"/>
    <row r="182" ht="24.9" hidden="1" customHeight="1"/>
    <row r="183" ht="24.9" hidden="1" customHeight="1"/>
    <row r="184" ht="24.9" hidden="1" customHeight="1"/>
    <row r="185" ht="24.9" hidden="1" customHeight="1"/>
    <row r="186" ht="24.9" hidden="1" customHeight="1"/>
    <row r="187" ht="24.9" hidden="1" customHeight="1"/>
    <row r="188" ht="24.9" hidden="1" customHeight="1"/>
    <row r="189" ht="24.9" hidden="1" customHeight="1"/>
    <row r="190" ht="24.9" hidden="1" customHeight="1"/>
    <row r="191" ht="24.9" hidden="1" customHeight="1"/>
    <row r="192" ht="24.9" hidden="1" customHeight="1"/>
    <row r="193" ht="24.9" hidden="1" customHeight="1"/>
    <row r="194" ht="24.9" hidden="1" customHeight="1"/>
    <row r="195" ht="24.9" hidden="1" customHeight="1"/>
    <row r="196" ht="24.9" hidden="1" customHeight="1"/>
    <row r="197" ht="24.9" hidden="1" customHeight="1"/>
    <row r="198" ht="24.9" hidden="1" customHeight="1"/>
    <row r="199" ht="24.9" hidden="1" customHeight="1"/>
    <row r="200" ht="24.9" hidden="1" customHeight="1"/>
    <row r="201" ht="24.9" hidden="1" customHeight="1"/>
    <row r="202" ht="24.9" hidden="1" customHeight="1"/>
    <row r="203" ht="24.9" hidden="1" customHeight="1"/>
    <row r="204" ht="24.9" hidden="1" customHeight="1"/>
    <row r="205" ht="24.9" hidden="1" customHeight="1"/>
    <row r="206" ht="24.9" hidden="1" customHeight="1"/>
    <row r="207" ht="24.9" hidden="1" customHeight="1"/>
    <row r="208" ht="24.9" hidden="1" customHeight="1"/>
    <row r="209" ht="24.9" hidden="1" customHeight="1"/>
    <row r="210" ht="24.9" hidden="1" customHeight="1"/>
    <row r="211" ht="24.9" hidden="1" customHeight="1"/>
    <row r="212" ht="24.9" hidden="1" customHeight="1"/>
    <row r="213" ht="24.9" hidden="1" customHeight="1"/>
    <row r="214" ht="24.9" hidden="1" customHeight="1"/>
    <row r="215" ht="24.9" hidden="1" customHeight="1"/>
    <row r="216" ht="24.9" hidden="1" customHeight="1"/>
    <row r="217" ht="24.9" hidden="1" customHeight="1"/>
    <row r="218" ht="24.9" hidden="1" customHeight="1"/>
  </sheetData>
  <sheetProtection selectLockedCells="1"/>
  <mergeCells count="41">
    <mergeCell ref="A1:X1"/>
    <mergeCell ref="E13:H13"/>
    <mergeCell ref="I13:M13"/>
    <mergeCell ref="N13:Q13"/>
    <mergeCell ref="R13:V13"/>
    <mergeCell ref="C4:L4"/>
    <mergeCell ref="C5:L5"/>
    <mergeCell ref="C6:L6"/>
    <mergeCell ref="M4:P4"/>
    <mergeCell ref="M5:P5"/>
    <mergeCell ref="M6:P6"/>
    <mergeCell ref="Q5:S5"/>
    <mergeCell ref="Q6:S6"/>
    <mergeCell ref="I12:M12"/>
    <mergeCell ref="N12:Q12"/>
    <mergeCell ref="R12:V12"/>
    <mergeCell ref="B3:V3"/>
    <mergeCell ref="B2:V2"/>
    <mergeCell ref="E17:J17"/>
    <mergeCell ref="E15:J15"/>
    <mergeCell ref="E14:J14"/>
    <mergeCell ref="K15:M15"/>
    <mergeCell ref="K14:P14"/>
    <mergeCell ref="B17:D17"/>
    <mergeCell ref="B16:D16"/>
    <mergeCell ref="B13:D15"/>
    <mergeCell ref="B9:V9"/>
    <mergeCell ref="E16:J16"/>
    <mergeCell ref="Q14:V14"/>
    <mergeCell ref="N15:P15"/>
    <mergeCell ref="E12:H12"/>
    <mergeCell ref="B18:D18"/>
    <mergeCell ref="Q15:S15"/>
    <mergeCell ref="T15:V15"/>
    <mergeCell ref="Q16:V16"/>
    <mergeCell ref="Q17:V17"/>
    <mergeCell ref="Q18:V18"/>
    <mergeCell ref="E18:J18"/>
    <mergeCell ref="K16:P16"/>
    <mergeCell ref="K17:P17"/>
    <mergeCell ref="K18:P18"/>
  </mergeCells>
  <phoneticPr fontId="2"/>
  <conditionalFormatting sqref="I12:M12">
    <cfRule type="cellIs" dxfId="2" priority="4" operator="lessThan">
      <formula>340000</formula>
    </cfRule>
  </conditionalFormatting>
  <conditionalFormatting sqref="R12:V12">
    <cfRule type="cellIs" dxfId="1" priority="1" operator="lessThan">
      <formula>$I$12</formula>
    </cfRule>
    <cfRule type="cellIs" dxfId="0" priority="3" operator="greaterThan">
      <formula>340000</formula>
    </cfRule>
  </conditionalFormatting>
  <dataValidations count="1">
    <dataValidation type="whole" allowBlank="1" showInputMessage="1" showErrorMessage="1" sqref="M4:P4" xr:uid="{00000000-0002-0000-0000-000000000000}">
      <formula1>58000</formula1>
      <formula2>1390000</formula2>
    </dataValidation>
  </dataValidations>
  <printOptions horizontalCentered="1"/>
  <pageMargins left="0.23622047244094491" right="0.23622047244094491" top="1.1417322834645669" bottom="0.74803149606299213" header="0.31496062992125984" footer="0.31496062992125984"/>
  <pageSetup paperSize="9" orientation="portrait" horizontalDpi="1200" verticalDpi="1200" r:id="rId1"/>
  <headerFooter alignWithMargins="0"/>
  <rowBreaks count="2" manualBreakCount="2">
    <brk id="29" max="30" man="1"/>
    <brk id="63" max="1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20"/>
  <sheetViews>
    <sheetView showGridLines="0" view="pageBreakPreview" zoomScale="115" zoomScaleNormal="100" zoomScaleSheetLayoutView="115" workbookViewId="0">
      <selection activeCell="E19" sqref="A1:XFD1048576"/>
    </sheetView>
  </sheetViews>
  <sheetFormatPr defaultColWidth="9" defaultRowHeight="16.2"/>
  <cols>
    <col min="1" max="1" width="21.33203125" style="50" customWidth="1"/>
    <col min="2" max="3" width="17.6640625" style="53" bestFit="1" customWidth="1"/>
    <col min="4" max="4" width="20.44140625" style="53" bestFit="1" customWidth="1"/>
    <col min="5" max="5" width="13.109375" style="50" customWidth="1"/>
    <col min="6" max="16384" width="9" style="50"/>
  </cols>
  <sheetData>
    <row r="1" spans="1:4" ht="18.600000000000001">
      <c r="D1" s="138" t="s">
        <v>142</v>
      </c>
    </row>
    <row r="2" spans="1:4" ht="47.25" customHeight="1">
      <c r="A2" s="136" t="s">
        <v>145</v>
      </c>
      <c r="B2" s="135"/>
      <c r="C2" s="135"/>
      <c r="D2" s="137"/>
    </row>
    <row r="3" spans="1:4" ht="37.200000000000003">
      <c r="A3" s="133" t="s">
        <v>143</v>
      </c>
      <c r="B3" s="131">
        <f>試算シート!$I$13</f>
        <v>9.2599999999999988E-2</v>
      </c>
      <c r="C3" s="134" t="s">
        <v>144</v>
      </c>
      <c r="D3" s="132">
        <f>試算シート!$R$13</f>
        <v>1.7899999999999999E-2</v>
      </c>
    </row>
    <row r="4" spans="1:4" s="51" customFormat="1" ht="18.600000000000001">
      <c r="A4" s="212" t="s">
        <v>136</v>
      </c>
      <c r="B4" s="212"/>
      <c r="C4" s="212"/>
      <c r="D4" s="212"/>
    </row>
    <row r="5" spans="1:4" s="51" customFormat="1" ht="18.600000000000001">
      <c r="A5" s="112"/>
      <c r="B5" s="112"/>
      <c r="C5" s="112"/>
      <c r="D5" s="112"/>
    </row>
    <row r="6" spans="1:4" s="52" customFormat="1" ht="18" thickBot="1">
      <c r="A6" s="213" t="s">
        <v>135</v>
      </c>
      <c r="B6" s="213"/>
      <c r="C6" s="213"/>
      <c r="D6" s="213"/>
    </row>
    <row r="7" spans="1:4" ht="18.75" customHeight="1">
      <c r="A7" s="210" t="s">
        <v>111</v>
      </c>
      <c r="B7" s="117" t="s">
        <v>112</v>
      </c>
      <c r="C7" s="118" t="s">
        <v>113</v>
      </c>
      <c r="D7" s="119" t="s">
        <v>114</v>
      </c>
    </row>
    <row r="8" spans="1:4" ht="18.75" customHeight="1" thickBot="1">
      <c r="A8" s="211"/>
      <c r="B8" s="120" t="s">
        <v>115</v>
      </c>
      <c r="C8" s="121" t="s">
        <v>115</v>
      </c>
      <c r="D8" s="122" t="s">
        <v>116</v>
      </c>
    </row>
    <row r="9" spans="1:4" ht="30" customHeight="1">
      <c r="A9" s="113" t="s">
        <v>117</v>
      </c>
      <c r="B9" s="123">
        <f>B17+【更新要】掛金早見表!D65</f>
        <v>37570</v>
      </c>
      <c r="C9" s="124">
        <f>B9*12</f>
        <v>450840</v>
      </c>
      <c r="D9" s="125">
        <f>C9-B11</f>
        <v>9449</v>
      </c>
    </row>
    <row r="10" spans="1:4" ht="30" customHeight="1">
      <c r="A10" s="114" t="s">
        <v>118</v>
      </c>
      <c r="B10" s="126">
        <f>【更新要】掛金早見表!K28+【更新要】掛金早見表!K65</f>
        <v>222859</v>
      </c>
      <c r="C10" s="127">
        <f>B10*2</f>
        <v>445718</v>
      </c>
      <c r="D10" s="128">
        <f>C10-B11</f>
        <v>4327</v>
      </c>
    </row>
    <row r="11" spans="1:4" ht="30" customHeight="1" thickBot="1">
      <c r="A11" s="115" t="s">
        <v>119</v>
      </c>
      <c r="B11" s="208">
        <f>【更新要】掛金早見表!Q28+【更新要】掛金早見表!Q65</f>
        <v>441391</v>
      </c>
      <c r="C11" s="209"/>
      <c r="D11" s="129" t="s">
        <v>120</v>
      </c>
    </row>
    <row r="12" spans="1:4">
      <c r="A12" s="207" t="s">
        <v>121</v>
      </c>
      <c r="B12" s="207"/>
      <c r="C12" s="207"/>
      <c r="D12" s="207"/>
    </row>
    <row r="13" spans="1:4" ht="18.600000000000001">
      <c r="A13" s="116"/>
      <c r="B13" s="116"/>
      <c r="C13" s="116"/>
      <c r="D13" s="116"/>
    </row>
    <row r="14" spans="1:4" s="130" customFormat="1" ht="18" thickBot="1">
      <c r="A14" s="214" t="s">
        <v>122</v>
      </c>
      <c r="B14" s="214"/>
      <c r="C14" s="214"/>
      <c r="D14" s="214"/>
    </row>
    <row r="15" spans="1:4" ht="18.75" customHeight="1">
      <c r="A15" s="210" t="s">
        <v>111</v>
      </c>
      <c r="B15" s="117" t="s">
        <v>112</v>
      </c>
      <c r="C15" s="118" t="s">
        <v>113</v>
      </c>
      <c r="D15" s="119" t="s">
        <v>114</v>
      </c>
    </row>
    <row r="16" spans="1:4" ht="18.75" customHeight="1" thickBot="1">
      <c r="A16" s="211"/>
      <c r="B16" s="120" t="s">
        <v>115</v>
      </c>
      <c r="C16" s="121" t="s">
        <v>115</v>
      </c>
      <c r="D16" s="122" t="s">
        <v>116</v>
      </c>
    </row>
    <row r="17" spans="1:4" ht="30" customHeight="1">
      <c r="A17" s="113" t="s">
        <v>117</v>
      </c>
      <c r="B17" s="123">
        <f>【更新要】掛金早見表!D28</f>
        <v>31484</v>
      </c>
      <c r="C17" s="124">
        <f>B17*12</f>
        <v>377808</v>
      </c>
      <c r="D17" s="125">
        <f>C17-B19</f>
        <v>7918</v>
      </c>
    </row>
    <row r="18" spans="1:4" ht="30" customHeight="1">
      <c r="A18" s="114" t="s">
        <v>118</v>
      </c>
      <c r="B18" s="126">
        <f>【更新要】掛金早見表!K28</f>
        <v>186758</v>
      </c>
      <c r="C18" s="127">
        <f>B18*2</f>
        <v>373516</v>
      </c>
      <c r="D18" s="128">
        <f>C18-B19</f>
        <v>3626</v>
      </c>
    </row>
    <row r="19" spans="1:4" ht="30" customHeight="1" thickBot="1">
      <c r="A19" s="115" t="s">
        <v>119</v>
      </c>
      <c r="B19" s="208">
        <f>【更新要】掛金早見表!Q28</f>
        <v>369890</v>
      </c>
      <c r="C19" s="209"/>
      <c r="D19" s="129" t="s">
        <v>120</v>
      </c>
    </row>
    <row r="20" spans="1:4">
      <c r="A20" s="207"/>
      <c r="B20" s="207"/>
      <c r="C20" s="207"/>
      <c r="D20" s="207"/>
    </row>
  </sheetData>
  <sheetProtection algorithmName="SHA-512" hashValue="WNp4UQRpSYEfZRUOe4hUd9biNnjhGAFKU0MjBEbY9ENcupGt6w2s9w5oPBzOjegXNBoy01TBIlcvY/wSz/EbkA==" saltValue="0m6PBtRPN/4cI9bASWlh3w==" spinCount="100000" sheet="1" selectLockedCells="1"/>
  <mergeCells count="9">
    <mergeCell ref="A20:D20"/>
    <mergeCell ref="B11:C11"/>
    <mergeCell ref="B19:C19"/>
    <mergeCell ref="A15:A16"/>
    <mergeCell ref="A4:D4"/>
    <mergeCell ref="A6:D6"/>
    <mergeCell ref="A7:A8"/>
    <mergeCell ref="A12:D12"/>
    <mergeCell ref="A14:D1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73"/>
  <sheetViews>
    <sheetView zoomScale="85" zoomScaleNormal="85" workbookViewId="0">
      <selection activeCell="H19" sqref="H19"/>
    </sheetView>
  </sheetViews>
  <sheetFormatPr defaultRowHeight="13.2"/>
  <cols>
    <col min="18" max="19" width="9" style="62"/>
    <col min="21" max="21" width="9.21875" bestFit="1" customWidth="1"/>
    <col min="23" max="24" width="9.21875" bestFit="1" customWidth="1"/>
    <col min="26" max="26" width="9.21875" bestFit="1" customWidth="1"/>
  </cols>
  <sheetData>
    <row r="1" spans="1:48" s="12" customFormat="1">
      <c r="B1" s="12" t="s">
        <v>2</v>
      </c>
      <c r="D1" s="34"/>
      <c r="E1" s="231" t="s">
        <v>123</v>
      </c>
      <c r="F1" s="232"/>
      <c r="G1" s="232"/>
      <c r="H1" s="35">
        <v>340000</v>
      </c>
      <c r="R1" s="2"/>
      <c r="S1" s="2"/>
      <c r="AQ1" s="13">
        <v>12</v>
      </c>
      <c r="AS1" s="12">
        <f>COUNTIF(【更新不要】試算基!Z44:AC44,"y")</f>
        <v>4</v>
      </c>
      <c r="AV1" s="12">
        <f>COUNTIF(【更新不要】試算基!Z44:AC44,"y")</f>
        <v>4</v>
      </c>
    </row>
    <row r="2" spans="1:48" s="12" customFormat="1" ht="10.8">
      <c r="A2" s="223"/>
      <c r="B2" s="14" t="s">
        <v>0</v>
      </c>
      <c r="C2" s="15" t="s">
        <v>0</v>
      </c>
      <c r="D2" s="224" t="s">
        <v>70</v>
      </c>
      <c r="E2" s="224"/>
      <c r="F2" s="225" t="s">
        <v>71</v>
      </c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7"/>
      <c r="R2" s="2"/>
      <c r="S2" s="2"/>
      <c r="AQ2" s="13">
        <v>1</v>
      </c>
      <c r="AS2" s="12">
        <f>COUNTIF(【更新不要】試算基!AA44:AC44,"y")</f>
        <v>3</v>
      </c>
      <c r="AV2" s="12">
        <f>COUNTIF(【更新不要】試算基!AA44:AC44,"y")</f>
        <v>3</v>
      </c>
    </row>
    <row r="3" spans="1:48" s="12" customFormat="1">
      <c r="A3" s="223"/>
      <c r="B3" s="16" t="s">
        <v>1</v>
      </c>
      <c r="C3" s="17" t="s">
        <v>3</v>
      </c>
      <c r="D3" s="18" t="s">
        <v>73</v>
      </c>
      <c r="E3" s="19"/>
      <c r="F3" s="3">
        <v>1</v>
      </c>
      <c r="G3" s="3">
        <v>2</v>
      </c>
      <c r="H3" s="3">
        <v>3</v>
      </c>
      <c r="I3" s="3">
        <v>4</v>
      </c>
      <c r="J3" s="3">
        <v>5</v>
      </c>
      <c r="K3" s="3">
        <v>6</v>
      </c>
      <c r="L3" s="3">
        <v>7</v>
      </c>
      <c r="M3" s="3">
        <v>8</v>
      </c>
      <c r="N3" s="3">
        <v>9</v>
      </c>
      <c r="O3" s="3">
        <v>10</v>
      </c>
      <c r="P3" s="3">
        <v>11</v>
      </c>
      <c r="Q3" s="3">
        <v>12</v>
      </c>
      <c r="R3" s="4" t="s">
        <v>47</v>
      </c>
      <c r="S3" s="4" t="s">
        <v>48</v>
      </c>
      <c r="U3" t="s">
        <v>69</v>
      </c>
      <c r="V3"/>
      <c r="W3"/>
      <c r="X3"/>
      <c r="Y3"/>
      <c r="Z3"/>
      <c r="AA3"/>
      <c r="AQ3" s="13">
        <v>2</v>
      </c>
      <c r="AS3" s="12">
        <f>COUNTIF(【更新不要】試算基!AB44:AC44,"y")</f>
        <v>2</v>
      </c>
      <c r="AV3" s="12">
        <f>COUNTIF(【更新不要】試算基!AB44:AC44,"y")</f>
        <v>2</v>
      </c>
    </row>
    <row r="4" spans="1:48" s="12" customFormat="1" ht="13.8" thickBot="1">
      <c r="B4" s="3"/>
      <c r="C4" s="3"/>
      <c r="D4" s="36">
        <f>46.3*2</f>
        <v>92.6</v>
      </c>
      <c r="E4" s="19" t="s">
        <v>72</v>
      </c>
      <c r="F4" s="3">
        <v>0.99673699999999998</v>
      </c>
      <c r="G4" s="3">
        <v>1.990221</v>
      </c>
      <c r="H4" s="3">
        <v>2.980464</v>
      </c>
      <c r="I4" s="3">
        <v>3.967476</v>
      </c>
      <c r="J4" s="3">
        <v>4.9512669999999996</v>
      </c>
      <c r="K4" s="3">
        <v>5.9318470000000003</v>
      </c>
      <c r="L4" s="3">
        <v>6.9092279999999997</v>
      </c>
      <c r="M4" s="3">
        <v>7.8834200000000001</v>
      </c>
      <c r="N4" s="3">
        <v>8.8544330000000002</v>
      </c>
      <c r="O4" s="3">
        <v>9.8222769999999997</v>
      </c>
      <c r="P4" s="3">
        <v>10.786963999999999</v>
      </c>
      <c r="Q4" s="3">
        <v>11.748502</v>
      </c>
      <c r="R4" s="59" t="s">
        <v>75</v>
      </c>
      <c r="S4" s="60"/>
      <c r="U4" s="230" t="s">
        <v>45</v>
      </c>
      <c r="V4" s="230"/>
      <c r="W4" s="230"/>
      <c r="X4" s="230"/>
      <c r="Y4" s="230"/>
      <c r="Z4" s="230"/>
      <c r="AA4" s="230"/>
      <c r="AQ4" s="13">
        <v>3</v>
      </c>
      <c r="AS4" s="12">
        <f>COUNTIF(【更新不要】試算基!AC44,"y")</f>
        <v>1</v>
      </c>
      <c r="AV4" s="12">
        <f>COUNTIF(【更新不要】試算基!AC44,"y")</f>
        <v>1</v>
      </c>
    </row>
    <row r="5" spans="1:48" s="12" customFormat="1">
      <c r="B5" s="3">
        <v>1</v>
      </c>
      <c r="C5" s="20">
        <v>58000</v>
      </c>
      <c r="D5" s="215">
        <f>ROUNDDOWN(C5*D4/1000,0)</f>
        <v>5370</v>
      </c>
      <c r="E5" s="216"/>
      <c r="F5" s="4">
        <f>ROUND(D5*F4,0)</f>
        <v>5352</v>
      </c>
      <c r="G5" s="4">
        <f>ROUND(D5*G4,0)</f>
        <v>10687</v>
      </c>
      <c r="H5" s="4">
        <f>ROUND(D5*H4,0)</f>
        <v>16005</v>
      </c>
      <c r="I5" s="4">
        <f>ROUND(D5*I4,0)</f>
        <v>21305</v>
      </c>
      <c r="J5" s="4">
        <f>ROUND(D5*J4,0)</f>
        <v>26588</v>
      </c>
      <c r="K5" s="4">
        <f>ROUND(D5*K4,0)</f>
        <v>31854</v>
      </c>
      <c r="L5" s="4">
        <f>ROUND(D5*L4,0)</f>
        <v>37103</v>
      </c>
      <c r="M5" s="4">
        <f>ROUND(D5*M4,0)</f>
        <v>42334</v>
      </c>
      <c r="N5" s="4">
        <f>ROUND(D5*N4,0)</f>
        <v>47548</v>
      </c>
      <c r="O5" s="4">
        <f>ROUND(D5*O4,0)</f>
        <v>52746</v>
      </c>
      <c r="P5" s="4">
        <f>ROUND(D5*P4,0)</f>
        <v>57926</v>
      </c>
      <c r="Q5" s="4">
        <f>ROUND(D5*Q4,0)</f>
        <v>63089</v>
      </c>
      <c r="R5" s="4">
        <f t="shared" ref="R5:R8" si="0">D5*6-K5</f>
        <v>366</v>
      </c>
      <c r="S5" s="4">
        <f t="shared" ref="S5:S8" si="1">D5*12-Q5</f>
        <v>1351</v>
      </c>
      <c r="U5" s="21" t="s">
        <v>10</v>
      </c>
      <c r="V5" s="22" t="s">
        <v>103</v>
      </c>
      <c r="W5" s="23" t="s">
        <v>11</v>
      </c>
      <c r="X5" s="233" t="s">
        <v>12</v>
      </c>
      <c r="Y5" s="233"/>
      <c r="Z5" s="233"/>
      <c r="AA5" s="234"/>
      <c r="AQ5" s="13"/>
    </row>
    <row r="6" spans="1:48" s="12" customFormat="1">
      <c r="B6" s="3">
        <v>2</v>
      </c>
      <c r="C6" s="20">
        <v>68000</v>
      </c>
      <c r="D6" s="215">
        <f>ROUNDDOWN(C6*D4/1000,0)</f>
        <v>6296</v>
      </c>
      <c r="E6" s="216"/>
      <c r="F6" s="4">
        <f>ROUND(D6*F4,0)</f>
        <v>6275</v>
      </c>
      <c r="G6" s="4">
        <f>ROUND(D6*G4,0)</f>
        <v>12530</v>
      </c>
      <c r="H6" s="4">
        <f>ROUND(D6*H4,0)</f>
        <v>18765</v>
      </c>
      <c r="I6" s="4">
        <f>ROUND(D6*I4,0)</f>
        <v>24979</v>
      </c>
      <c r="J6" s="4">
        <f>ROUND(D6*J4,0)</f>
        <v>31173</v>
      </c>
      <c r="K6" s="4">
        <f>ROUND(D6*K4,0)</f>
        <v>37347</v>
      </c>
      <c r="L6" s="4">
        <f>ROUND(D6*L4,0)</f>
        <v>43500</v>
      </c>
      <c r="M6" s="4">
        <f>ROUND(D6*M4,0)</f>
        <v>49634</v>
      </c>
      <c r="N6" s="4">
        <f>ROUND(D6*N4,0)</f>
        <v>55748</v>
      </c>
      <c r="O6" s="4">
        <f>ROUND(D6*O4,0)</f>
        <v>61841</v>
      </c>
      <c r="P6" s="4">
        <f>ROUND(D6*P4,0)</f>
        <v>67915</v>
      </c>
      <c r="Q6" s="4">
        <f>ROUND(D6*Q4,0)</f>
        <v>73969</v>
      </c>
      <c r="R6" s="4">
        <f t="shared" si="0"/>
        <v>429</v>
      </c>
      <c r="S6" s="4">
        <f t="shared" si="1"/>
        <v>1583</v>
      </c>
      <c r="U6" s="24">
        <v>53000</v>
      </c>
      <c r="V6" s="25" t="s">
        <v>13</v>
      </c>
      <c r="W6" s="26">
        <v>58000</v>
      </c>
      <c r="X6" s="27"/>
      <c r="Y6" s="28"/>
      <c r="Z6" s="27">
        <v>63000</v>
      </c>
      <c r="AA6" s="29" t="s">
        <v>14</v>
      </c>
      <c r="AQ6" s="13"/>
    </row>
    <row r="7" spans="1:48" s="12" customFormat="1">
      <c r="B7" s="3">
        <v>3</v>
      </c>
      <c r="C7" s="20">
        <v>78000</v>
      </c>
      <c r="D7" s="215">
        <f>ROUNDDOWN(C7*D4/1000,0)</f>
        <v>7222</v>
      </c>
      <c r="E7" s="216"/>
      <c r="F7" s="4">
        <f>ROUND(D7*F4,0)</f>
        <v>7198</v>
      </c>
      <c r="G7" s="4">
        <f>ROUND(D7*G4,0)</f>
        <v>14373</v>
      </c>
      <c r="H7" s="4">
        <f>ROUND(D7*H4,0)</f>
        <v>21525</v>
      </c>
      <c r="I7" s="4">
        <f>ROUND(D7*I4,0)</f>
        <v>28653</v>
      </c>
      <c r="J7" s="4">
        <f>ROUND(D7*J4,0)</f>
        <v>35758</v>
      </c>
      <c r="K7" s="4">
        <f>ROUND(D7*K4,0)</f>
        <v>42840</v>
      </c>
      <c r="L7" s="4">
        <f>ROUND(D7*L4,0)</f>
        <v>49898</v>
      </c>
      <c r="M7" s="4">
        <f>ROUND(D7*M4,0)</f>
        <v>56934</v>
      </c>
      <c r="N7" s="4">
        <f>ROUND(D7*N4,0)</f>
        <v>63947</v>
      </c>
      <c r="O7" s="4">
        <f>ROUND(D7*O4,0)</f>
        <v>70936</v>
      </c>
      <c r="P7" s="4">
        <f>ROUND(D7*P4,0)</f>
        <v>77903</v>
      </c>
      <c r="Q7" s="4">
        <f>ROUND(D7*Q4,0)</f>
        <v>84848</v>
      </c>
      <c r="R7" s="4">
        <f t="shared" si="0"/>
        <v>492</v>
      </c>
      <c r="S7" s="4">
        <f t="shared" si="1"/>
        <v>1816</v>
      </c>
      <c r="U7" s="24">
        <v>63000</v>
      </c>
      <c r="V7" s="25" t="s">
        <v>15</v>
      </c>
      <c r="W7" s="26">
        <v>68000</v>
      </c>
      <c r="X7" s="27">
        <v>63000</v>
      </c>
      <c r="Y7" s="28" t="s">
        <v>16</v>
      </c>
      <c r="Z7" s="27">
        <v>73000</v>
      </c>
      <c r="AA7" s="29" t="s">
        <v>14</v>
      </c>
      <c r="AQ7" s="13"/>
    </row>
    <row r="8" spans="1:48" s="12" customFormat="1">
      <c r="B8" s="3">
        <v>4</v>
      </c>
      <c r="C8" s="20">
        <v>88000</v>
      </c>
      <c r="D8" s="215">
        <f>ROUNDDOWN(C8*D4/1000,0)</f>
        <v>8148</v>
      </c>
      <c r="E8" s="216"/>
      <c r="F8" s="4">
        <f>ROUND(D8*F4,0)</f>
        <v>8121</v>
      </c>
      <c r="G8" s="4">
        <f>ROUND(D8*G4,0)</f>
        <v>16216</v>
      </c>
      <c r="H8" s="4">
        <f>ROUND(D8*H4,0)</f>
        <v>24285</v>
      </c>
      <c r="I8" s="4">
        <f>ROUND(D8*I4,0)</f>
        <v>32327</v>
      </c>
      <c r="J8" s="4">
        <f>ROUND(D8*J4,0)</f>
        <v>40343</v>
      </c>
      <c r="K8" s="4">
        <f>ROUND(D8*K4,0)</f>
        <v>48333</v>
      </c>
      <c r="L8" s="4">
        <f>ROUND(D8*L4,0)</f>
        <v>56296</v>
      </c>
      <c r="M8" s="4">
        <f>ROUND(D8*M4,0)</f>
        <v>64234</v>
      </c>
      <c r="N8" s="4">
        <f>ROUND(D8*N4,0)</f>
        <v>72146</v>
      </c>
      <c r="O8" s="4">
        <f>ROUND(D8*O4,0)</f>
        <v>80032</v>
      </c>
      <c r="P8" s="4">
        <f>ROUND(D8*P4,0)</f>
        <v>87892</v>
      </c>
      <c r="Q8" s="4">
        <f>ROUND(D8*Q4,0)</f>
        <v>95727</v>
      </c>
      <c r="R8" s="4">
        <f t="shared" si="0"/>
        <v>555</v>
      </c>
      <c r="S8" s="4">
        <f t="shared" si="1"/>
        <v>2049</v>
      </c>
      <c r="U8" s="24">
        <v>73000</v>
      </c>
      <c r="V8" s="25" t="s">
        <v>17</v>
      </c>
      <c r="W8" s="26">
        <v>78000</v>
      </c>
      <c r="X8" s="27">
        <v>73000</v>
      </c>
      <c r="Y8" s="28" t="s">
        <v>16</v>
      </c>
      <c r="Z8" s="27">
        <v>83000</v>
      </c>
      <c r="AA8" s="29" t="s">
        <v>14</v>
      </c>
      <c r="AQ8" s="13"/>
    </row>
    <row r="9" spans="1:48" s="12" customFormat="1">
      <c r="A9" s="1"/>
      <c r="B9" s="3">
        <v>5</v>
      </c>
      <c r="C9" s="20">
        <v>98000</v>
      </c>
      <c r="D9" s="215">
        <f>ROUNDDOWN(C9*D4/1000,0)</f>
        <v>9074</v>
      </c>
      <c r="E9" s="216"/>
      <c r="F9" s="4">
        <f>ROUND(D9*F4,0)</f>
        <v>9044</v>
      </c>
      <c r="G9" s="4">
        <f>ROUND(D9*G4,0)</f>
        <v>18059</v>
      </c>
      <c r="H9" s="4">
        <f>ROUND(D9*H4,0)</f>
        <v>27045</v>
      </c>
      <c r="I9" s="4">
        <f>ROUND(D9*I4,0)</f>
        <v>36001</v>
      </c>
      <c r="J9" s="4">
        <f>ROUND(D9*J4,0)</f>
        <v>44928</v>
      </c>
      <c r="K9" s="4">
        <f>ROUND(D9*K4,0)</f>
        <v>53826</v>
      </c>
      <c r="L9" s="4">
        <f>ROUND(D9*L4,0)</f>
        <v>62694</v>
      </c>
      <c r="M9" s="4">
        <f>ROUND(D9*M4,0)</f>
        <v>71534</v>
      </c>
      <c r="N9" s="4">
        <f>ROUND(D9*N4,0)</f>
        <v>80345</v>
      </c>
      <c r="O9" s="4">
        <f>ROUND(D9*O4,0)</f>
        <v>89127</v>
      </c>
      <c r="P9" s="4">
        <f>ROUND(D9*P4,0)</f>
        <v>97881</v>
      </c>
      <c r="Q9" s="4">
        <f>ROUND(D9*Q4,0)</f>
        <v>106606</v>
      </c>
      <c r="R9" s="4">
        <f>D9*6-K9</f>
        <v>618</v>
      </c>
      <c r="S9" s="4">
        <f t="shared" ref="S9:S31" si="2">D9*12-Q9</f>
        <v>2282</v>
      </c>
      <c r="U9" s="24">
        <v>83000</v>
      </c>
      <c r="V9" s="25" t="s">
        <v>18</v>
      </c>
      <c r="W9" s="26">
        <v>88000</v>
      </c>
      <c r="X9" s="27">
        <v>83000</v>
      </c>
      <c r="Y9" s="28" t="s">
        <v>16</v>
      </c>
      <c r="Z9" s="27">
        <v>93000</v>
      </c>
      <c r="AA9" s="29" t="s">
        <v>14</v>
      </c>
      <c r="AQ9" s="13"/>
    </row>
    <row r="10" spans="1:48" s="12" customFormat="1">
      <c r="A10" s="1" t="str">
        <f>IF(AND(【更新不要】試算基!B18&gt;=101000,【更新不要】試算基!B18&lt;107000),"●","")</f>
        <v/>
      </c>
      <c r="B10" s="3">
        <v>6</v>
      </c>
      <c r="C10" s="4">
        <v>104000</v>
      </c>
      <c r="D10" s="215">
        <f>ROUNDDOWN(C10*D4/1000,0)</f>
        <v>9630</v>
      </c>
      <c r="E10" s="216"/>
      <c r="F10" s="4">
        <f>ROUND(D10*F4,0)</f>
        <v>9599</v>
      </c>
      <c r="G10" s="4">
        <f>ROUND(D10*G4,0)</f>
        <v>19166</v>
      </c>
      <c r="H10" s="4">
        <f>ROUND(D10*H4,0)</f>
        <v>28702</v>
      </c>
      <c r="I10" s="4">
        <f>ROUND(D10*I4,0)</f>
        <v>38207</v>
      </c>
      <c r="J10" s="4">
        <f>ROUND(D10*J4,0)</f>
        <v>47681</v>
      </c>
      <c r="K10" s="4">
        <f>ROUND(D10*K4,0)</f>
        <v>57124</v>
      </c>
      <c r="L10" s="4">
        <f>ROUND(D10*L4,0)</f>
        <v>66536</v>
      </c>
      <c r="M10" s="4">
        <f>ROUND(D10*M4,0)</f>
        <v>75917</v>
      </c>
      <c r="N10" s="4">
        <f>ROUND(D10*N4,0)</f>
        <v>85268</v>
      </c>
      <c r="O10" s="4">
        <f>ROUND(D10*O4,0)</f>
        <v>94589</v>
      </c>
      <c r="P10" s="4">
        <f>ROUND(D10*P4,0)</f>
        <v>103878</v>
      </c>
      <c r="Q10" s="4">
        <f>ROUND(D10*Q4,0)</f>
        <v>113138</v>
      </c>
      <c r="R10" s="4">
        <f t="shared" ref="R10:R31" si="3">D10*6-K10</f>
        <v>656</v>
      </c>
      <c r="S10" s="4">
        <f t="shared" si="2"/>
        <v>2422</v>
      </c>
      <c r="U10" s="24">
        <v>93000</v>
      </c>
      <c r="V10" s="25" t="s">
        <v>19</v>
      </c>
      <c r="W10" s="26">
        <v>98000</v>
      </c>
      <c r="X10" s="27">
        <v>93000</v>
      </c>
      <c r="Y10" s="28" t="s">
        <v>16</v>
      </c>
      <c r="Z10" s="27">
        <v>101000</v>
      </c>
      <c r="AA10" s="29" t="s">
        <v>14</v>
      </c>
      <c r="AQ10" s="13"/>
    </row>
    <row r="11" spans="1:48" s="12" customFormat="1">
      <c r="A11" s="1" t="str">
        <f>IF(AND(【更新不要】試算基!B18&gt;=107000,【更新不要】試算基!B18&lt;114000),"●","")</f>
        <v/>
      </c>
      <c r="B11" s="3">
        <v>7</v>
      </c>
      <c r="C11" s="4">
        <v>110000</v>
      </c>
      <c r="D11" s="215">
        <f>ROUNDDOWN(C11*D4/1000,0)</f>
        <v>10186</v>
      </c>
      <c r="E11" s="216"/>
      <c r="F11" s="4">
        <f>ROUND(D11*F4,0)</f>
        <v>10153</v>
      </c>
      <c r="G11" s="4">
        <f>ROUND(D11*G4,0)</f>
        <v>20272</v>
      </c>
      <c r="H11" s="4">
        <f>ROUND(D11*H4,0)</f>
        <v>30359</v>
      </c>
      <c r="I11" s="4">
        <f>ROUND(D11*I4,0)</f>
        <v>40413</v>
      </c>
      <c r="J11" s="4">
        <f>ROUND(D11*J4,0)</f>
        <v>50434</v>
      </c>
      <c r="K11" s="4">
        <f>ROUND(D11*K4,0)</f>
        <v>60422</v>
      </c>
      <c r="L11" s="4">
        <f>ROUND(D11*L4,0)</f>
        <v>70377</v>
      </c>
      <c r="M11" s="4">
        <f>ROUND(D11*M4,0)</f>
        <v>80301</v>
      </c>
      <c r="N11" s="4">
        <f>ROUND(D11*N4,0)</f>
        <v>90191</v>
      </c>
      <c r="O11" s="4">
        <f>ROUND(D11*O4,0)</f>
        <v>100050</v>
      </c>
      <c r="P11" s="4">
        <f>ROUND(D11*P4,0)</f>
        <v>109876</v>
      </c>
      <c r="Q11" s="4">
        <f>ROUND(D11*Q4,0)</f>
        <v>119670</v>
      </c>
      <c r="R11" s="4">
        <f t="shared" si="3"/>
        <v>694</v>
      </c>
      <c r="S11" s="4">
        <f t="shared" si="2"/>
        <v>2562</v>
      </c>
      <c r="U11" s="24">
        <v>101000</v>
      </c>
      <c r="V11" s="25" t="s">
        <v>20</v>
      </c>
      <c r="W11" s="26">
        <v>104000</v>
      </c>
      <c r="X11" s="27">
        <v>101000</v>
      </c>
      <c r="Y11" s="28" t="s">
        <v>16</v>
      </c>
      <c r="Z11" s="27">
        <v>107000</v>
      </c>
      <c r="AA11" s="29" t="s">
        <v>14</v>
      </c>
      <c r="AQ11" s="13"/>
    </row>
    <row r="12" spans="1:48" s="12" customFormat="1">
      <c r="A12" s="1" t="str">
        <f>IF(AND(【更新不要】試算基!B18&gt;=114000,【更新不要】試算基!B18&lt;122000),"●","")</f>
        <v/>
      </c>
      <c r="B12" s="3">
        <v>8</v>
      </c>
      <c r="C12" s="4">
        <v>118000</v>
      </c>
      <c r="D12" s="215">
        <f>ROUNDDOWN(C12*D4/1000,0)</f>
        <v>10926</v>
      </c>
      <c r="E12" s="216"/>
      <c r="F12" s="4">
        <f>ROUND(D12*F4,0)</f>
        <v>10890</v>
      </c>
      <c r="G12" s="4">
        <f>ROUND(D12*G4,0)</f>
        <v>21745</v>
      </c>
      <c r="H12" s="4">
        <f>ROUND(D12*H4,0)</f>
        <v>32565</v>
      </c>
      <c r="I12" s="4">
        <f>ROUND(D12*I4,0)</f>
        <v>43349</v>
      </c>
      <c r="J12" s="4">
        <f>ROUND(D12*J4,0)</f>
        <v>54098</v>
      </c>
      <c r="K12" s="4">
        <f>ROUND(D12*K4,0)</f>
        <v>64811</v>
      </c>
      <c r="L12" s="4">
        <f>ROUND(D12*L4,0)</f>
        <v>75490</v>
      </c>
      <c r="M12" s="4">
        <f>ROUND(D12*M4,0)</f>
        <v>86134</v>
      </c>
      <c r="N12" s="4">
        <f>ROUND(D12*N4,0)</f>
        <v>96744</v>
      </c>
      <c r="O12" s="4">
        <f>ROUND(D12*O4,0)</f>
        <v>107318</v>
      </c>
      <c r="P12" s="4">
        <f>ROUND(D12*P4,0)</f>
        <v>117858</v>
      </c>
      <c r="Q12" s="4">
        <f>ROUND(D12*Q4,0)</f>
        <v>128364</v>
      </c>
      <c r="R12" s="4">
        <f t="shared" si="3"/>
        <v>745</v>
      </c>
      <c r="S12" s="4">
        <f t="shared" si="2"/>
        <v>2748</v>
      </c>
      <c r="U12" s="24">
        <v>107000</v>
      </c>
      <c r="V12" s="25" t="s">
        <v>21</v>
      </c>
      <c r="W12" s="26">
        <v>110000</v>
      </c>
      <c r="X12" s="27">
        <v>107000</v>
      </c>
      <c r="Y12" s="28" t="s">
        <v>16</v>
      </c>
      <c r="Z12" s="27">
        <v>114000</v>
      </c>
      <c r="AA12" s="29" t="s">
        <v>14</v>
      </c>
      <c r="AQ12" s="13"/>
    </row>
    <row r="13" spans="1:48" s="12" customFormat="1">
      <c r="A13" s="1" t="str">
        <f>IF(AND(【更新不要】試算基!B18&gt;=122000,【更新不要】試算基!B18&lt;130000),"●","")</f>
        <v/>
      </c>
      <c r="B13" s="3">
        <v>9</v>
      </c>
      <c r="C13" s="4">
        <v>126000</v>
      </c>
      <c r="D13" s="215">
        <f>ROUNDDOWN(C13*D4/1000,0)</f>
        <v>11667</v>
      </c>
      <c r="E13" s="216"/>
      <c r="F13" s="4">
        <f>ROUND(D13*F4,0)</f>
        <v>11629</v>
      </c>
      <c r="G13" s="4">
        <f>ROUND(D13*G4,0)</f>
        <v>23220</v>
      </c>
      <c r="H13" s="4">
        <f>ROUND(D13*H4,0)</f>
        <v>34773</v>
      </c>
      <c r="I13" s="4">
        <f>ROUND(D13*I4,0)</f>
        <v>46289</v>
      </c>
      <c r="J13" s="4">
        <f>ROUND(D13*J4,0)</f>
        <v>57766</v>
      </c>
      <c r="K13" s="4">
        <f>ROUND(D13*K4,0)</f>
        <v>69207</v>
      </c>
      <c r="L13" s="4">
        <f>ROUND(D13*L4,0)</f>
        <v>80610</v>
      </c>
      <c r="M13" s="4">
        <f>ROUND(D13*M4,0)</f>
        <v>91976</v>
      </c>
      <c r="N13" s="4">
        <f>ROUND(D13*N4,0)</f>
        <v>103305</v>
      </c>
      <c r="O13" s="4">
        <f>ROUND(D13*O4,0)</f>
        <v>114597</v>
      </c>
      <c r="P13" s="4">
        <f>ROUND(D13*P4,0)</f>
        <v>125852</v>
      </c>
      <c r="Q13" s="4">
        <f>ROUND(D13*Q4,0)</f>
        <v>137070</v>
      </c>
      <c r="R13" s="4">
        <f t="shared" si="3"/>
        <v>795</v>
      </c>
      <c r="S13" s="4">
        <f t="shared" si="2"/>
        <v>2934</v>
      </c>
      <c r="U13" s="24">
        <v>114000</v>
      </c>
      <c r="V13" s="25" t="s">
        <v>22</v>
      </c>
      <c r="W13" s="26">
        <v>118000</v>
      </c>
      <c r="X13" s="27">
        <v>114000</v>
      </c>
      <c r="Y13" s="28" t="s">
        <v>16</v>
      </c>
      <c r="Z13" s="27">
        <v>122000</v>
      </c>
      <c r="AA13" s="29" t="s">
        <v>14</v>
      </c>
      <c r="AQ13" s="13"/>
    </row>
    <row r="14" spans="1:48" s="12" customFormat="1">
      <c r="A14" s="1" t="str">
        <f>IF(AND(【更新不要】試算基!B18&gt;=130000,【更新不要】試算基!B18&lt;138000),"●","")</f>
        <v/>
      </c>
      <c r="B14" s="3">
        <v>10</v>
      </c>
      <c r="C14" s="4">
        <v>134000</v>
      </c>
      <c r="D14" s="215">
        <f>ROUNDDOWN(C14*D4/1000,0)</f>
        <v>12408</v>
      </c>
      <c r="E14" s="216"/>
      <c r="F14" s="4">
        <f>ROUND(D14*F4,0)</f>
        <v>12368</v>
      </c>
      <c r="G14" s="4">
        <f>ROUND(D14*G4,0)</f>
        <v>24695</v>
      </c>
      <c r="H14" s="4">
        <f>ROUND(D14*H4,0)</f>
        <v>36982</v>
      </c>
      <c r="I14" s="4">
        <f>ROUND(D14*I4,0)</f>
        <v>49228</v>
      </c>
      <c r="J14" s="4">
        <f>ROUND(D14*J4,0)</f>
        <v>61435</v>
      </c>
      <c r="K14" s="4">
        <f>ROUND(D14*K4,0)</f>
        <v>73602</v>
      </c>
      <c r="L14" s="4">
        <f>ROUND(D14*L4,0)</f>
        <v>85730</v>
      </c>
      <c r="M14" s="4">
        <f>ROUND(D14*M4,0)</f>
        <v>97817</v>
      </c>
      <c r="N14" s="4">
        <f>ROUND(D14*N4,0)</f>
        <v>109866</v>
      </c>
      <c r="O14" s="4">
        <f>ROUND(D14*O4,0)</f>
        <v>121875</v>
      </c>
      <c r="P14" s="4">
        <f>ROUND(D14*P4,0)</f>
        <v>133845</v>
      </c>
      <c r="Q14" s="4">
        <f>ROUND(D14*Q4,0)</f>
        <v>145775</v>
      </c>
      <c r="R14" s="4">
        <f t="shared" si="3"/>
        <v>846</v>
      </c>
      <c r="S14" s="4">
        <f t="shared" si="2"/>
        <v>3121</v>
      </c>
      <c r="U14" s="24">
        <v>122000</v>
      </c>
      <c r="V14" s="25" t="s">
        <v>23</v>
      </c>
      <c r="W14" s="26">
        <v>126000</v>
      </c>
      <c r="X14" s="27">
        <v>122000</v>
      </c>
      <c r="Y14" s="28" t="s">
        <v>16</v>
      </c>
      <c r="Z14" s="27">
        <v>130000</v>
      </c>
      <c r="AA14" s="29" t="s">
        <v>14</v>
      </c>
      <c r="AQ14" s="13"/>
    </row>
    <row r="15" spans="1:48" s="12" customFormat="1">
      <c r="A15" s="1" t="str">
        <f>IF(AND(【更新不要】試算基!B18&gt;=138000,【更新不要】試算基!B18&lt;146000),"●","")</f>
        <v/>
      </c>
      <c r="B15" s="3">
        <v>11</v>
      </c>
      <c r="C15" s="4">
        <v>142000</v>
      </c>
      <c r="D15" s="215">
        <f>ROUNDDOWN(C15*D4/1000,0)</f>
        <v>13149</v>
      </c>
      <c r="E15" s="216"/>
      <c r="F15" s="4">
        <f>ROUND(D15*F4,0)</f>
        <v>13106</v>
      </c>
      <c r="G15" s="4">
        <f>ROUND(D15*G4,0)</f>
        <v>26169</v>
      </c>
      <c r="H15" s="4">
        <f>ROUND(D15*H4,0)</f>
        <v>39190</v>
      </c>
      <c r="I15" s="4">
        <f>ROUND(D15*I4,0)</f>
        <v>52168</v>
      </c>
      <c r="J15" s="4">
        <f>ROUND(D15*J4,0)</f>
        <v>65104</v>
      </c>
      <c r="K15" s="4">
        <f>ROUND(D15*K4,0)</f>
        <v>77998</v>
      </c>
      <c r="L15" s="4">
        <f>ROUND(D15*L4,0)</f>
        <v>90849</v>
      </c>
      <c r="M15" s="4">
        <f>ROUND(D15*M4,0)</f>
        <v>103659</v>
      </c>
      <c r="N15" s="4">
        <f>ROUND(D15*N4,0)</f>
        <v>116427</v>
      </c>
      <c r="O15" s="4">
        <f>ROUND(D15*O4,0)</f>
        <v>129153</v>
      </c>
      <c r="P15" s="4">
        <f>ROUND(D15*P4,0)</f>
        <v>141838</v>
      </c>
      <c r="Q15" s="4">
        <f>ROUND(D15*Q4,0)</f>
        <v>154481</v>
      </c>
      <c r="R15" s="4">
        <f t="shared" si="3"/>
        <v>896</v>
      </c>
      <c r="S15" s="4">
        <f t="shared" si="2"/>
        <v>3307</v>
      </c>
      <c r="U15" s="24">
        <v>130000</v>
      </c>
      <c r="V15" s="25" t="s">
        <v>24</v>
      </c>
      <c r="W15" s="26">
        <v>134000</v>
      </c>
      <c r="X15" s="27">
        <v>130000</v>
      </c>
      <c r="Y15" s="28" t="s">
        <v>16</v>
      </c>
      <c r="Z15" s="27">
        <v>138000</v>
      </c>
      <c r="AA15" s="29" t="s">
        <v>14</v>
      </c>
      <c r="AQ15" s="13"/>
    </row>
    <row r="16" spans="1:48" s="12" customFormat="1">
      <c r="A16" s="1" t="str">
        <f>IF(AND(【更新不要】試算基!B18&gt;=146000,【更新不要】試算基!B18&lt;155000),"●","")</f>
        <v/>
      </c>
      <c r="B16" s="3">
        <v>12</v>
      </c>
      <c r="C16" s="4">
        <v>150000</v>
      </c>
      <c r="D16" s="215">
        <f>ROUNDDOWN(C16*D4/1000,0)</f>
        <v>13890</v>
      </c>
      <c r="E16" s="216"/>
      <c r="F16" s="4">
        <f>ROUND(D16*F4,0)</f>
        <v>13845</v>
      </c>
      <c r="G16" s="4">
        <f>ROUND(D16*G4,0)</f>
        <v>27644</v>
      </c>
      <c r="H16" s="4">
        <f>ROUND(D16*H4,0)</f>
        <v>41399</v>
      </c>
      <c r="I16" s="4">
        <f>ROUND(D16*I4,0)</f>
        <v>55108</v>
      </c>
      <c r="J16" s="4">
        <f>ROUND(D16*J4,0)</f>
        <v>68773</v>
      </c>
      <c r="K16" s="4">
        <f>ROUND(D16*K4,0)</f>
        <v>82393</v>
      </c>
      <c r="L16" s="4">
        <f>ROUND(D16*L4,0)</f>
        <v>95969</v>
      </c>
      <c r="M16" s="4">
        <f>ROUND(D16*M4,0)</f>
        <v>109501</v>
      </c>
      <c r="N16" s="4">
        <f>ROUND(D16*N4,0)</f>
        <v>122988</v>
      </c>
      <c r="O16" s="4">
        <f>ROUND(D16*O4,0)</f>
        <v>136431</v>
      </c>
      <c r="P16" s="4">
        <f>ROUND(D16*P4,0)</f>
        <v>149831</v>
      </c>
      <c r="Q16" s="4">
        <f>ROUND(D16*Q4,0)</f>
        <v>163187</v>
      </c>
      <c r="R16" s="4">
        <f t="shared" si="3"/>
        <v>947</v>
      </c>
      <c r="S16" s="4">
        <f t="shared" si="2"/>
        <v>3493</v>
      </c>
      <c r="U16" s="24">
        <v>138000</v>
      </c>
      <c r="V16" s="25" t="s">
        <v>25</v>
      </c>
      <c r="W16" s="26">
        <v>142000</v>
      </c>
      <c r="X16" s="27">
        <v>138000</v>
      </c>
      <c r="Y16" s="28" t="s">
        <v>16</v>
      </c>
      <c r="Z16" s="27">
        <v>146000</v>
      </c>
      <c r="AA16" s="29" t="s">
        <v>14</v>
      </c>
      <c r="AQ16" s="13"/>
    </row>
    <row r="17" spans="1:43" s="12" customFormat="1">
      <c r="A17" s="1" t="str">
        <f>IF(AND(【更新不要】試算基!B18&gt;=155000,【更新不要】試算基!B18&lt;165000),"●","")</f>
        <v/>
      </c>
      <c r="B17" s="3">
        <v>13</v>
      </c>
      <c r="C17" s="4">
        <v>160000</v>
      </c>
      <c r="D17" s="215">
        <f>ROUNDDOWN(C17*D4/1000,0)</f>
        <v>14816</v>
      </c>
      <c r="E17" s="216"/>
      <c r="F17" s="4">
        <f>ROUND(D17*F4,0)</f>
        <v>14768</v>
      </c>
      <c r="G17" s="4">
        <f>ROUND(D17*G4,0)</f>
        <v>29487</v>
      </c>
      <c r="H17" s="4">
        <f>ROUND(D17*H4,0)</f>
        <v>44159</v>
      </c>
      <c r="I17" s="4">
        <f>ROUND(D17*I4,0)</f>
        <v>58782</v>
      </c>
      <c r="J17" s="4">
        <f>ROUND(D17*J4,0)</f>
        <v>73358</v>
      </c>
      <c r="K17" s="4">
        <f>ROUND(D17*K4,0)</f>
        <v>87886</v>
      </c>
      <c r="L17" s="4">
        <f>ROUND(D17*L4,0)</f>
        <v>102367</v>
      </c>
      <c r="M17" s="4">
        <f>ROUND(D17*M4,0)</f>
        <v>116801</v>
      </c>
      <c r="N17" s="4">
        <f>ROUND(D17*N4,0)</f>
        <v>131187</v>
      </c>
      <c r="O17" s="4">
        <f>ROUND(D17*O4,0)</f>
        <v>145527</v>
      </c>
      <c r="P17" s="4">
        <f>ROUND(D17*P4,0)</f>
        <v>159820</v>
      </c>
      <c r="Q17" s="4">
        <f>ROUND(D17*Q4,0)</f>
        <v>174066</v>
      </c>
      <c r="R17" s="4">
        <f t="shared" si="3"/>
        <v>1010</v>
      </c>
      <c r="S17" s="4">
        <f t="shared" si="2"/>
        <v>3726</v>
      </c>
      <c r="U17" s="24">
        <v>146000</v>
      </c>
      <c r="V17" s="25" t="s">
        <v>26</v>
      </c>
      <c r="W17" s="26">
        <v>150000</v>
      </c>
      <c r="X17" s="27">
        <v>146000</v>
      </c>
      <c r="Y17" s="28" t="s">
        <v>16</v>
      </c>
      <c r="Z17" s="27">
        <v>155000</v>
      </c>
      <c r="AA17" s="29" t="s">
        <v>14</v>
      </c>
      <c r="AQ17" s="13"/>
    </row>
    <row r="18" spans="1:43" s="12" customFormat="1">
      <c r="A18" s="1" t="str">
        <f>IF(AND(【更新不要】試算基!B18&gt;=165000,【更新不要】試算基!B18&lt;175000),"●","")</f>
        <v/>
      </c>
      <c r="B18" s="3">
        <v>14</v>
      </c>
      <c r="C18" s="4">
        <v>170000</v>
      </c>
      <c r="D18" s="215">
        <f>ROUNDDOWN(C18*D4/1000,0)</f>
        <v>15742</v>
      </c>
      <c r="E18" s="216"/>
      <c r="F18" s="4">
        <f>ROUND(D18*F4,0)</f>
        <v>15691</v>
      </c>
      <c r="G18" s="4">
        <f>ROUND(D18*G4,0)</f>
        <v>31330</v>
      </c>
      <c r="H18" s="4">
        <f>ROUND(D18*H4,0)</f>
        <v>46918</v>
      </c>
      <c r="I18" s="4">
        <f>ROUND(D18*I4,0)</f>
        <v>62456</v>
      </c>
      <c r="J18" s="4">
        <f>ROUND(D18*J4,0)</f>
        <v>77943</v>
      </c>
      <c r="K18" s="4">
        <f>ROUND(D18*K4,0)</f>
        <v>93379</v>
      </c>
      <c r="L18" s="4">
        <f>ROUND(D18*L4,0)</f>
        <v>108765</v>
      </c>
      <c r="M18" s="4">
        <f>ROUND(D18*M4,0)</f>
        <v>124101</v>
      </c>
      <c r="N18" s="4">
        <f>ROUND(D18*N4,0)</f>
        <v>139386</v>
      </c>
      <c r="O18" s="4">
        <f>ROUND(D18*O4,0)</f>
        <v>154622</v>
      </c>
      <c r="P18" s="4">
        <f>ROUND(D18*P4,0)</f>
        <v>169808</v>
      </c>
      <c r="Q18" s="4">
        <f>ROUND(D18*Q4,0)</f>
        <v>184945</v>
      </c>
      <c r="R18" s="4">
        <f t="shared" si="3"/>
        <v>1073</v>
      </c>
      <c r="S18" s="4">
        <f t="shared" si="2"/>
        <v>3959</v>
      </c>
      <c r="U18" s="24">
        <v>155000</v>
      </c>
      <c r="V18" s="25" t="s">
        <v>27</v>
      </c>
      <c r="W18" s="26">
        <v>160000</v>
      </c>
      <c r="X18" s="27">
        <v>155000</v>
      </c>
      <c r="Y18" s="28" t="s">
        <v>16</v>
      </c>
      <c r="Z18" s="27">
        <v>165000</v>
      </c>
      <c r="AA18" s="29" t="s">
        <v>14</v>
      </c>
      <c r="AQ18" s="13"/>
    </row>
    <row r="19" spans="1:43" s="12" customFormat="1">
      <c r="A19" s="1" t="str">
        <f>IF(AND(【更新不要】試算基!B18&gt;=175000,【更新不要】試算基!B18&lt;185000),"●","")</f>
        <v/>
      </c>
      <c r="B19" s="3">
        <v>15</v>
      </c>
      <c r="C19" s="4">
        <v>180000</v>
      </c>
      <c r="D19" s="215">
        <f>ROUNDDOWN(C19*D4/1000,0)</f>
        <v>16668</v>
      </c>
      <c r="E19" s="216"/>
      <c r="F19" s="4">
        <f>ROUND(D19*F4,0)</f>
        <v>16614</v>
      </c>
      <c r="G19" s="4">
        <f>ROUND(D19*G4,0)</f>
        <v>33173</v>
      </c>
      <c r="H19" s="4">
        <f>ROUND(D19*H4,0)</f>
        <v>49678</v>
      </c>
      <c r="I19" s="4">
        <f>ROUND(D19*I4,0)</f>
        <v>66130</v>
      </c>
      <c r="J19" s="4">
        <f>ROUND(D19*J4,0)</f>
        <v>82528</v>
      </c>
      <c r="K19" s="4">
        <f>ROUND(D19*K4,0)</f>
        <v>98872</v>
      </c>
      <c r="L19" s="4">
        <f>ROUND(D19*L4,0)</f>
        <v>115163</v>
      </c>
      <c r="M19" s="4">
        <f>ROUND(D19*M4,0)</f>
        <v>131401</v>
      </c>
      <c r="N19" s="4">
        <f>ROUND(D19*N4,0)</f>
        <v>147586</v>
      </c>
      <c r="O19" s="4">
        <f>ROUND(D19*O4,0)</f>
        <v>163718</v>
      </c>
      <c r="P19" s="4">
        <f>ROUND(D19*P4,0)</f>
        <v>179797</v>
      </c>
      <c r="Q19" s="4">
        <f>ROUND(D19*Q4,0)</f>
        <v>195824</v>
      </c>
      <c r="R19" s="4">
        <f t="shared" si="3"/>
        <v>1136</v>
      </c>
      <c r="S19" s="4">
        <f t="shared" si="2"/>
        <v>4192</v>
      </c>
      <c r="U19" s="24">
        <v>165000</v>
      </c>
      <c r="V19" s="25" t="s">
        <v>28</v>
      </c>
      <c r="W19" s="26">
        <v>170000</v>
      </c>
      <c r="X19" s="27">
        <v>165000</v>
      </c>
      <c r="Y19" s="28" t="s">
        <v>16</v>
      </c>
      <c r="Z19" s="27">
        <v>175000</v>
      </c>
      <c r="AA19" s="29" t="s">
        <v>14</v>
      </c>
      <c r="AQ19" s="13"/>
    </row>
    <row r="20" spans="1:43" s="12" customFormat="1">
      <c r="A20" s="1" t="str">
        <f>IF(AND(【更新不要】試算基!B18&gt;=185000,【更新不要】試算基!B18&lt;195000),"●","")</f>
        <v/>
      </c>
      <c r="B20" s="3">
        <v>16</v>
      </c>
      <c r="C20" s="4">
        <v>190000</v>
      </c>
      <c r="D20" s="215">
        <f>ROUNDDOWN(C20*D4/1000,0)</f>
        <v>17594</v>
      </c>
      <c r="E20" s="216"/>
      <c r="F20" s="4">
        <f>ROUND(D20*F4,0)</f>
        <v>17537</v>
      </c>
      <c r="G20" s="4">
        <f>ROUND(D20*G4,0)</f>
        <v>35016</v>
      </c>
      <c r="H20" s="4">
        <f>ROUND(D20*H4,0)</f>
        <v>52438</v>
      </c>
      <c r="I20" s="4">
        <f>ROUND(D20*I4,0)</f>
        <v>69804</v>
      </c>
      <c r="J20" s="4">
        <f>ROUND(D20*J4,0)</f>
        <v>87113</v>
      </c>
      <c r="K20" s="4">
        <f>ROUND(D20*K4,0)</f>
        <v>104365</v>
      </c>
      <c r="L20" s="4">
        <f>ROUND(D20*L4,0)</f>
        <v>121561</v>
      </c>
      <c r="M20" s="4">
        <f>ROUND(D20*M4,0)</f>
        <v>138701</v>
      </c>
      <c r="N20" s="4">
        <f>ROUND(D20*N4,0)</f>
        <v>155785</v>
      </c>
      <c r="O20" s="4">
        <f>ROUND(D20*O4,0)</f>
        <v>172813</v>
      </c>
      <c r="P20" s="4">
        <f>ROUND(D20*P4,0)</f>
        <v>189786</v>
      </c>
      <c r="Q20" s="4">
        <f>ROUND(D20*Q4,0)</f>
        <v>206703</v>
      </c>
      <c r="R20" s="4">
        <f t="shared" si="3"/>
        <v>1199</v>
      </c>
      <c r="S20" s="4">
        <f t="shared" si="2"/>
        <v>4425</v>
      </c>
      <c r="U20" s="24">
        <v>175000</v>
      </c>
      <c r="V20" s="25" t="s">
        <v>29</v>
      </c>
      <c r="W20" s="26">
        <v>180000</v>
      </c>
      <c r="X20" s="27">
        <v>175000</v>
      </c>
      <c r="Y20" s="28" t="s">
        <v>16</v>
      </c>
      <c r="Z20" s="27">
        <v>185000</v>
      </c>
      <c r="AA20" s="29" t="s">
        <v>14</v>
      </c>
      <c r="AQ20" s="13"/>
    </row>
    <row r="21" spans="1:43" s="12" customFormat="1">
      <c r="A21" s="1" t="str">
        <f>IF(AND(【更新不要】試算基!B18&gt;=195000,【更新不要】試算基!B18&lt;210000),"●","")</f>
        <v/>
      </c>
      <c r="B21" s="3">
        <v>17</v>
      </c>
      <c r="C21" s="4">
        <v>200000</v>
      </c>
      <c r="D21" s="215">
        <f>ROUNDDOWN(C21*D4/1000,0)</f>
        <v>18520</v>
      </c>
      <c r="E21" s="216"/>
      <c r="F21" s="4">
        <f>ROUND(D21*F4,0)</f>
        <v>18460</v>
      </c>
      <c r="G21" s="4">
        <f>ROUND(D21*G4,0)</f>
        <v>36859</v>
      </c>
      <c r="H21" s="4">
        <f>ROUND(D21*H4,0)</f>
        <v>55198</v>
      </c>
      <c r="I21" s="4">
        <f>ROUND(D21*I4,0)</f>
        <v>73478</v>
      </c>
      <c r="J21" s="4">
        <f>ROUND(D21*J4,0)</f>
        <v>91697</v>
      </c>
      <c r="K21" s="4">
        <f>ROUND(D21*K4,0)</f>
        <v>109858</v>
      </c>
      <c r="L21" s="4">
        <f>ROUND(D21*L4,0)</f>
        <v>127959</v>
      </c>
      <c r="M21" s="4">
        <f>ROUND(D21*M4,0)</f>
        <v>146001</v>
      </c>
      <c r="N21" s="4">
        <f>ROUND(D21*N4,0)</f>
        <v>163984</v>
      </c>
      <c r="O21" s="4">
        <f>ROUND(D21*O4,0)</f>
        <v>181909</v>
      </c>
      <c r="P21" s="4">
        <f>ROUND(D21*P4,0)</f>
        <v>199775</v>
      </c>
      <c r="Q21" s="4">
        <f>ROUND(D21*Q4,0)</f>
        <v>217582</v>
      </c>
      <c r="R21" s="4">
        <f t="shared" si="3"/>
        <v>1262</v>
      </c>
      <c r="S21" s="4">
        <f t="shared" si="2"/>
        <v>4658</v>
      </c>
      <c r="U21" s="24">
        <v>185000</v>
      </c>
      <c r="V21" s="25" t="s">
        <v>30</v>
      </c>
      <c r="W21" s="26">
        <v>190000</v>
      </c>
      <c r="X21" s="27">
        <v>185000</v>
      </c>
      <c r="Y21" s="28" t="s">
        <v>16</v>
      </c>
      <c r="Z21" s="27">
        <v>195000</v>
      </c>
      <c r="AA21" s="29" t="s">
        <v>14</v>
      </c>
      <c r="AQ21" s="13"/>
    </row>
    <row r="22" spans="1:43" s="12" customFormat="1">
      <c r="A22" s="1" t="str">
        <f>IF(AND(【更新不要】試算基!B18&gt;=210000,【更新不要】試算基!B18&lt;230000),"●","")</f>
        <v/>
      </c>
      <c r="B22" s="3">
        <v>18</v>
      </c>
      <c r="C22" s="4">
        <v>220000</v>
      </c>
      <c r="D22" s="215">
        <f>ROUNDDOWN(C22*D4/1000,0)</f>
        <v>20372</v>
      </c>
      <c r="E22" s="216"/>
      <c r="F22" s="4">
        <f>ROUND(D22*F4,0)</f>
        <v>20306</v>
      </c>
      <c r="G22" s="4">
        <f>ROUND(D22*G4,0)</f>
        <v>40545</v>
      </c>
      <c r="H22" s="4">
        <f>ROUND(D22*H4,0)</f>
        <v>60718</v>
      </c>
      <c r="I22" s="4">
        <f>ROUND(D22*I4,0)</f>
        <v>80825</v>
      </c>
      <c r="J22" s="4">
        <f>ROUND(D22*J4,0)</f>
        <v>100867</v>
      </c>
      <c r="K22" s="4">
        <f>ROUND(D22*K4,0)</f>
        <v>120844</v>
      </c>
      <c r="L22" s="4">
        <f>ROUND(D22*L4,0)</f>
        <v>140755</v>
      </c>
      <c r="M22" s="4">
        <f>ROUND(D22*M4,0)</f>
        <v>160601</v>
      </c>
      <c r="N22" s="4">
        <f>ROUND(D22*N4,0)</f>
        <v>180383</v>
      </c>
      <c r="O22" s="4">
        <f>ROUND(D22*O4,0)</f>
        <v>200099</v>
      </c>
      <c r="P22" s="4">
        <f>ROUND(D22*P4,0)</f>
        <v>219752</v>
      </c>
      <c r="Q22" s="4">
        <f>ROUND(D22*Q4,0)</f>
        <v>239340</v>
      </c>
      <c r="R22" s="4">
        <f t="shared" si="3"/>
        <v>1388</v>
      </c>
      <c r="S22" s="4">
        <f t="shared" si="2"/>
        <v>5124</v>
      </c>
      <c r="U22" s="24">
        <v>195000</v>
      </c>
      <c r="V22" s="25" t="s">
        <v>31</v>
      </c>
      <c r="W22" s="26">
        <v>200000</v>
      </c>
      <c r="X22" s="27">
        <v>195000</v>
      </c>
      <c r="Y22" s="28" t="s">
        <v>16</v>
      </c>
      <c r="Z22" s="27">
        <v>210000</v>
      </c>
      <c r="AA22" s="29" t="s">
        <v>14</v>
      </c>
      <c r="AQ22" s="13"/>
    </row>
    <row r="23" spans="1:43" s="12" customFormat="1">
      <c r="A23" s="1" t="str">
        <f>IF(AND(【更新不要】試算基!B18&gt;=230000,【更新不要】試算基!B18&lt;250000),"●","")</f>
        <v/>
      </c>
      <c r="B23" s="3">
        <v>19</v>
      </c>
      <c r="C23" s="4">
        <v>240000</v>
      </c>
      <c r="D23" s="215">
        <f>ROUNDDOWN(C23*D4/1000,0)</f>
        <v>22224</v>
      </c>
      <c r="E23" s="216"/>
      <c r="F23" s="4">
        <f>ROUND(D23*F4,0)</f>
        <v>22151</v>
      </c>
      <c r="G23" s="4">
        <f>ROUND(D23*G4,0)</f>
        <v>44231</v>
      </c>
      <c r="H23" s="4">
        <f>ROUND(D23*H4,0)</f>
        <v>66238</v>
      </c>
      <c r="I23" s="4">
        <f>ROUND(D23*I4,0)</f>
        <v>88173</v>
      </c>
      <c r="J23" s="4">
        <f>ROUND(D23*J4,0)</f>
        <v>110037</v>
      </c>
      <c r="K23" s="4">
        <f>ROUND(D23*K4,0)</f>
        <v>131829</v>
      </c>
      <c r="L23" s="4">
        <f>ROUND(D23*L4,0)</f>
        <v>153551</v>
      </c>
      <c r="M23" s="4">
        <f>ROUND(D23*M4,0)</f>
        <v>175201</v>
      </c>
      <c r="N23" s="4">
        <f>ROUND(D23*N4,0)</f>
        <v>196781</v>
      </c>
      <c r="O23" s="4">
        <f>ROUND(D23*O4,0)</f>
        <v>218290</v>
      </c>
      <c r="P23" s="4">
        <f>ROUND(D23*P4,0)</f>
        <v>239729</v>
      </c>
      <c r="Q23" s="4">
        <f>ROUND(D23*Q4,0)</f>
        <v>261099</v>
      </c>
      <c r="R23" s="4">
        <f t="shared" si="3"/>
        <v>1515</v>
      </c>
      <c r="S23" s="4">
        <f t="shared" si="2"/>
        <v>5589</v>
      </c>
      <c r="U23" s="24">
        <v>210000</v>
      </c>
      <c r="V23" s="25" t="s">
        <v>32</v>
      </c>
      <c r="W23" s="26">
        <v>220000</v>
      </c>
      <c r="X23" s="27">
        <v>210000</v>
      </c>
      <c r="Y23" s="28" t="s">
        <v>16</v>
      </c>
      <c r="Z23" s="27">
        <v>230000</v>
      </c>
      <c r="AA23" s="29" t="s">
        <v>14</v>
      </c>
      <c r="AQ23" s="13"/>
    </row>
    <row r="24" spans="1:43" s="12" customFormat="1">
      <c r="A24" s="1" t="str">
        <f>IF(AND(【更新不要】試算基!B18&gt;=250000,【更新不要】試算基!B18&lt;270000),"●","")</f>
        <v/>
      </c>
      <c r="B24" s="3">
        <v>20</v>
      </c>
      <c r="C24" s="4">
        <v>260000</v>
      </c>
      <c r="D24" s="215">
        <f>ROUNDDOWN(C24*D4/1000,0)</f>
        <v>24076</v>
      </c>
      <c r="E24" s="216"/>
      <c r="F24" s="4">
        <f>ROUND(D24*F4,0)</f>
        <v>23997</v>
      </c>
      <c r="G24" s="4">
        <f>ROUND(D24*G4,0)</f>
        <v>47917</v>
      </c>
      <c r="H24" s="4">
        <f>ROUND(D24*H4,0)</f>
        <v>71758</v>
      </c>
      <c r="I24" s="4">
        <f>ROUND(D24*I4,0)</f>
        <v>95521</v>
      </c>
      <c r="J24" s="4">
        <f>ROUND(D24*J4,0)</f>
        <v>119207</v>
      </c>
      <c r="K24" s="4">
        <f>ROUND(D24*K4,0)</f>
        <v>142815</v>
      </c>
      <c r="L24" s="4">
        <f>ROUND(D24*L4,0)</f>
        <v>166347</v>
      </c>
      <c r="M24" s="4">
        <f>ROUND(D24*M4,0)</f>
        <v>189801</v>
      </c>
      <c r="N24" s="4">
        <f>ROUND(D24*N4,0)</f>
        <v>213179</v>
      </c>
      <c r="O24" s="4">
        <f>ROUND(D24*O4,0)</f>
        <v>236481</v>
      </c>
      <c r="P24" s="4">
        <f>ROUND(D24*P4,0)</f>
        <v>259707</v>
      </c>
      <c r="Q24" s="4">
        <f>ROUND(D24*Q4,0)</f>
        <v>282857</v>
      </c>
      <c r="R24" s="4">
        <f t="shared" si="3"/>
        <v>1641</v>
      </c>
      <c r="S24" s="4">
        <f t="shared" si="2"/>
        <v>6055</v>
      </c>
      <c r="U24" s="24">
        <v>230000</v>
      </c>
      <c r="V24" s="25" t="s">
        <v>33</v>
      </c>
      <c r="W24" s="26">
        <v>240000</v>
      </c>
      <c r="X24" s="27">
        <v>230000</v>
      </c>
      <c r="Y24" s="28" t="s">
        <v>16</v>
      </c>
      <c r="Z24" s="27">
        <v>250000</v>
      </c>
      <c r="AA24" s="29" t="s">
        <v>14</v>
      </c>
      <c r="AQ24" s="13"/>
    </row>
    <row r="25" spans="1:43" s="12" customFormat="1">
      <c r="A25" s="1" t="str">
        <f>IF(AND(【更新不要】試算基!B18&gt;=270000,【更新不要】試算基!B18&lt;290000),"●","")</f>
        <v/>
      </c>
      <c r="B25" s="3">
        <v>21</v>
      </c>
      <c r="C25" s="4">
        <v>280000</v>
      </c>
      <c r="D25" s="215">
        <f>ROUNDDOWN(C25*D4/1000,0)</f>
        <v>25928</v>
      </c>
      <c r="E25" s="216"/>
      <c r="F25" s="4">
        <f>ROUND(D25*F4,0)</f>
        <v>25843</v>
      </c>
      <c r="G25" s="4">
        <f>ROUND(D25*G4,0)</f>
        <v>51602</v>
      </c>
      <c r="H25" s="4">
        <f>ROUND(D25*H4,0)</f>
        <v>77277</v>
      </c>
      <c r="I25" s="4">
        <f>ROUND(D25*I4,0)</f>
        <v>102869</v>
      </c>
      <c r="J25" s="4">
        <f>ROUND(D25*J4,0)</f>
        <v>128376</v>
      </c>
      <c r="K25" s="4">
        <f>ROUND(D25*K4,0)</f>
        <v>153801</v>
      </c>
      <c r="L25" s="4">
        <f>ROUND(D25*L4,0)</f>
        <v>179142</v>
      </c>
      <c r="M25" s="4">
        <f>ROUND(D25*M4,0)</f>
        <v>204401</v>
      </c>
      <c r="N25" s="4">
        <f>ROUND(D25*N4,0)</f>
        <v>229578</v>
      </c>
      <c r="O25" s="4">
        <f>ROUND(D25*O4,0)</f>
        <v>254672</v>
      </c>
      <c r="P25" s="4">
        <f>ROUND(D25*P4,0)</f>
        <v>279684</v>
      </c>
      <c r="Q25" s="4">
        <f>ROUND(D25*Q4,0)</f>
        <v>304615</v>
      </c>
      <c r="R25" s="4">
        <f t="shared" si="3"/>
        <v>1767</v>
      </c>
      <c r="S25" s="4">
        <f t="shared" si="2"/>
        <v>6521</v>
      </c>
      <c r="U25" s="24">
        <v>250000</v>
      </c>
      <c r="V25" s="25" t="s">
        <v>34</v>
      </c>
      <c r="W25" s="26">
        <v>260000</v>
      </c>
      <c r="X25" s="27">
        <v>250000</v>
      </c>
      <c r="Y25" s="28" t="s">
        <v>16</v>
      </c>
      <c r="Z25" s="27">
        <v>270000</v>
      </c>
      <c r="AA25" s="29" t="s">
        <v>14</v>
      </c>
      <c r="AQ25" s="13"/>
    </row>
    <row r="26" spans="1:43" s="12" customFormat="1">
      <c r="A26" s="1" t="str">
        <f>IF(AND(【更新不要】試算基!B18&gt;=290000,【更新不要】試算基!B18&lt;310000),"●","")</f>
        <v/>
      </c>
      <c r="B26" s="3">
        <v>22</v>
      </c>
      <c r="C26" s="4">
        <v>300000</v>
      </c>
      <c r="D26" s="215">
        <f>ROUNDDOWN(C26*D4/1000,0)</f>
        <v>27780</v>
      </c>
      <c r="E26" s="216"/>
      <c r="F26" s="4">
        <f>ROUND(D26*F4,0)</f>
        <v>27689</v>
      </c>
      <c r="G26" s="4">
        <f>ROUND(D26*G4,0)</f>
        <v>55288</v>
      </c>
      <c r="H26" s="4">
        <f>ROUND(D26*H4,0)</f>
        <v>82797</v>
      </c>
      <c r="I26" s="4">
        <f>ROUND(D26*I4,0)</f>
        <v>110216</v>
      </c>
      <c r="J26" s="4">
        <f>ROUND(D26*J4,0)</f>
        <v>137546</v>
      </c>
      <c r="K26" s="4">
        <f>ROUND(D26*K4,0)</f>
        <v>164787</v>
      </c>
      <c r="L26" s="4">
        <f>ROUND(D26*L4,0)</f>
        <v>191938</v>
      </c>
      <c r="M26" s="4">
        <f>ROUND(D26*M4,0)</f>
        <v>219001</v>
      </c>
      <c r="N26" s="4">
        <f>ROUND(D26*N4,0)</f>
        <v>245976</v>
      </c>
      <c r="O26" s="4">
        <f>ROUND(D26*O4,0)</f>
        <v>272863</v>
      </c>
      <c r="P26" s="4">
        <f>ROUND(D26*P4,0)</f>
        <v>299662</v>
      </c>
      <c r="Q26" s="4">
        <f>ROUND(D26*Q4,0)</f>
        <v>326373</v>
      </c>
      <c r="R26" s="4">
        <f t="shared" si="3"/>
        <v>1893</v>
      </c>
      <c r="S26" s="4">
        <f t="shared" si="2"/>
        <v>6987</v>
      </c>
      <c r="U26" s="24">
        <v>270000</v>
      </c>
      <c r="V26" s="25" t="s">
        <v>35</v>
      </c>
      <c r="W26" s="26">
        <v>280000</v>
      </c>
      <c r="X26" s="27">
        <v>270000</v>
      </c>
      <c r="Y26" s="28" t="s">
        <v>16</v>
      </c>
      <c r="Z26" s="27">
        <v>290000</v>
      </c>
      <c r="AA26" s="29" t="s">
        <v>14</v>
      </c>
      <c r="AQ26" s="13"/>
    </row>
    <row r="27" spans="1:43" s="12" customFormat="1">
      <c r="A27" s="1" t="str">
        <f>IF(AND(【更新不要】試算基!B18&gt;=310000,【更新不要】試算基!B18&lt;330000),"●","")</f>
        <v/>
      </c>
      <c r="B27" s="3">
        <v>23</v>
      </c>
      <c r="C27" s="4">
        <v>320000</v>
      </c>
      <c r="D27" s="215">
        <f>ROUNDDOWN(C27*D4/1000,0)</f>
        <v>29632</v>
      </c>
      <c r="E27" s="216"/>
      <c r="F27" s="4">
        <f>ROUND(D27*F4,0)</f>
        <v>29535</v>
      </c>
      <c r="G27" s="4">
        <f>ROUND(D27*G4,0)</f>
        <v>58974</v>
      </c>
      <c r="H27" s="4">
        <f>ROUND(D27*H4,0)</f>
        <v>88317</v>
      </c>
      <c r="I27" s="4">
        <f>ROUND(D27*I4,0)</f>
        <v>117564</v>
      </c>
      <c r="J27" s="4">
        <f>ROUND(D27*J4,0)</f>
        <v>146716</v>
      </c>
      <c r="K27" s="4">
        <f>ROUND(D27*K4,0)</f>
        <v>175772</v>
      </c>
      <c r="L27" s="4">
        <f>ROUND(D27*L4,0)</f>
        <v>204734</v>
      </c>
      <c r="M27" s="4">
        <f>ROUND(D27*M4,0)</f>
        <v>233602</v>
      </c>
      <c r="N27" s="4">
        <f>ROUND(D27*N4,0)</f>
        <v>262375</v>
      </c>
      <c r="O27" s="4">
        <f>ROUND(D27*O4,0)</f>
        <v>291054</v>
      </c>
      <c r="P27" s="4">
        <f>ROUND(D27*P4,0)</f>
        <v>319639</v>
      </c>
      <c r="Q27" s="4">
        <f>ROUND(D27*Q4,0)</f>
        <v>348132</v>
      </c>
      <c r="R27" s="4">
        <f t="shared" si="3"/>
        <v>2020</v>
      </c>
      <c r="S27" s="4">
        <f t="shared" si="2"/>
        <v>7452</v>
      </c>
      <c r="U27" s="24">
        <v>290000</v>
      </c>
      <c r="V27" s="25" t="s">
        <v>36</v>
      </c>
      <c r="W27" s="26">
        <v>300000</v>
      </c>
      <c r="X27" s="27">
        <v>290000</v>
      </c>
      <c r="Y27" s="28" t="s">
        <v>16</v>
      </c>
      <c r="Z27" s="27">
        <v>310000</v>
      </c>
      <c r="AA27" s="29" t="s">
        <v>14</v>
      </c>
      <c r="AQ27" s="13"/>
    </row>
    <row r="28" spans="1:43" s="12" customFormat="1">
      <c r="A28" s="1" t="str">
        <f>IF(AND(【更新不要】試算基!B18&gt;=330000,【更新不要】試算基!B18&lt;350000),"●","")</f>
        <v>●</v>
      </c>
      <c r="B28" s="3">
        <v>24</v>
      </c>
      <c r="C28" s="4">
        <v>340000</v>
      </c>
      <c r="D28" s="219">
        <f>ROUNDDOWN(C28*D4/1000,0)</f>
        <v>31484</v>
      </c>
      <c r="E28" s="220"/>
      <c r="F28" s="4">
        <f>ROUND(D28*F4,0)</f>
        <v>31381</v>
      </c>
      <c r="G28" s="4">
        <f>ROUND(D28*G4,0)</f>
        <v>62660</v>
      </c>
      <c r="H28" s="4">
        <f>ROUND(D28*H4,0)</f>
        <v>93837</v>
      </c>
      <c r="I28" s="4">
        <f>ROUND(D28*I4,0)</f>
        <v>124912</v>
      </c>
      <c r="J28" s="4">
        <f>ROUND(D28*J4,0)</f>
        <v>155886</v>
      </c>
      <c r="K28" s="58">
        <f>ROUND(D28*K4,0)</f>
        <v>186758</v>
      </c>
      <c r="L28" s="4">
        <f>ROUND(D28*L4,0)</f>
        <v>217530</v>
      </c>
      <c r="M28" s="4">
        <f>ROUND(D28*M4,0)</f>
        <v>248202</v>
      </c>
      <c r="N28" s="4">
        <f>ROUND(D28*N4,0)</f>
        <v>278773</v>
      </c>
      <c r="O28" s="4">
        <f>ROUND(D28*O4,0)</f>
        <v>309245</v>
      </c>
      <c r="P28" s="4">
        <f>ROUND(D28*P4,0)</f>
        <v>339617</v>
      </c>
      <c r="Q28" s="58">
        <f>ROUND(D28*Q4,0)</f>
        <v>369890</v>
      </c>
      <c r="R28" s="4">
        <f t="shared" si="3"/>
        <v>2146</v>
      </c>
      <c r="S28" s="4">
        <f t="shared" si="2"/>
        <v>7918</v>
      </c>
      <c r="U28" s="24">
        <v>310000</v>
      </c>
      <c r="V28" s="25" t="s">
        <v>37</v>
      </c>
      <c r="W28" s="26">
        <v>320000</v>
      </c>
      <c r="X28" s="27">
        <v>310000</v>
      </c>
      <c r="Y28" s="28" t="s">
        <v>16</v>
      </c>
      <c r="Z28" s="27">
        <v>330000</v>
      </c>
      <c r="AA28" s="29" t="s">
        <v>14</v>
      </c>
      <c r="AQ28" s="13"/>
    </row>
    <row r="29" spans="1:43" s="12" customFormat="1">
      <c r="A29" s="1" t="str">
        <f>IF(AND(【更新不要】試算基!B18&gt;=350000,【更新不要】試算基!B18&lt;370000),"●","")</f>
        <v/>
      </c>
      <c r="B29" s="56">
        <v>25</v>
      </c>
      <c r="C29" s="57">
        <v>360000</v>
      </c>
      <c r="D29" s="221">
        <f>ROUNDDOWN(C29*D4/1000,0)</f>
        <v>33336</v>
      </c>
      <c r="E29" s="222"/>
      <c r="F29" s="57">
        <f>ROUND(D29*F4,0)</f>
        <v>33227</v>
      </c>
      <c r="G29" s="57">
        <f>ROUND(D29*G4,0)</f>
        <v>66346</v>
      </c>
      <c r="H29" s="57">
        <f>ROUND(D29*H4,0)</f>
        <v>99357</v>
      </c>
      <c r="I29" s="57">
        <f>ROUND(D29*I4,0)</f>
        <v>132260</v>
      </c>
      <c r="J29" s="57">
        <f>ROUND(D29*J4,0)</f>
        <v>165055</v>
      </c>
      <c r="K29" s="57">
        <f>ROUND(D29*K4,0)</f>
        <v>197744</v>
      </c>
      <c r="L29" s="57">
        <f>ROUND(D29*L4,0)</f>
        <v>230326</v>
      </c>
      <c r="M29" s="57">
        <f>ROUND(D29*M4,0)</f>
        <v>262802</v>
      </c>
      <c r="N29" s="57">
        <f>ROUND(D29*N4,0)</f>
        <v>295171</v>
      </c>
      <c r="O29" s="57">
        <f>ROUND(D29*O4,0)</f>
        <v>327435</v>
      </c>
      <c r="P29" s="57">
        <f>ROUND(D29*P4,0)</f>
        <v>359594</v>
      </c>
      <c r="Q29" s="57">
        <f>ROUND(D29*Q4,0)</f>
        <v>391648</v>
      </c>
      <c r="R29" s="57">
        <f t="shared" si="3"/>
        <v>2272</v>
      </c>
      <c r="S29" s="57">
        <f t="shared" si="2"/>
        <v>8384</v>
      </c>
      <c r="U29" s="24">
        <v>330000</v>
      </c>
      <c r="V29" s="25" t="s">
        <v>38</v>
      </c>
      <c r="W29" s="26">
        <v>340000</v>
      </c>
      <c r="X29" s="27">
        <v>330000</v>
      </c>
      <c r="Y29" s="28" t="s">
        <v>16</v>
      </c>
      <c r="Z29" s="27">
        <v>350000</v>
      </c>
      <c r="AA29" s="29" t="s">
        <v>14</v>
      </c>
      <c r="AQ29" s="13"/>
    </row>
    <row r="30" spans="1:43" s="12" customFormat="1">
      <c r="A30" s="1" t="str">
        <f>IF(AND(【更新不要】試算基!B18&gt;=370000,【更新不要】試算基!B18&lt;395000),"●","")</f>
        <v/>
      </c>
      <c r="B30" s="56">
        <v>26</v>
      </c>
      <c r="C30" s="57">
        <v>380000</v>
      </c>
      <c r="D30" s="221">
        <f>ROUNDDOWN(C30*D4/1000,0)</f>
        <v>35188</v>
      </c>
      <c r="E30" s="222"/>
      <c r="F30" s="57">
        <f>ROUND(D30*F4,0)</f>
        <v>35073</v>
      </c>
      <c r="G30" s="57">
        <f>ROUND(D30*G4,0)</f>
        <v>70032</v>
      </c>
      <c r="H30" s="57">
        <f>ROUND(D30*H4,0)</f>
        <v>104877</v>
      </c>
      <c r="I30" s="57">
        <f>ROUND(D30*I4,0)</f>
        <v>139608</v>
      </c>
      <c r="J30" s="57">
        <f>ROUND(D30*J4,0)</f>
        <v>174225</v>
      </c>
      <c r="K30" s="57">
        <f>ROUND(D30*K4,0)</f>
        <v>208730</v>
      </c>
      <c r="L30" s="57">
        <f>ROUND(D30*L4,0)</f>
        <v>243122</v>
      </c>
      <c r="M30" s="57">
        <f>ROUND(D30*M4,0)</f>
        <v>277402</v>
      </c>
      <c r="N30" s="57">
        <f>ROUND(D30*N4,0)</f>
        <v>311570</v>
      </c>
      <c r="O30" s="57">
        <f>ROUND(D30*O4,0)</f>
        <v>345626</v>
      </c>
      <c r="P30" s="57">
        <f>ROUND(D30*P4,0)</f>
        <v>379572</v>
      </c>
      <c r="Q30" s="57">
        <f>ROUND(D30*Q4,0)</f>
        <v>413406</v>
      </c>
      <c r="R30" s="57">
        <f t="shared" si="3"/>
        <v>2398</v>
      </c>
      <c r="S30" s="57">
        <f t="shared" si="2"/>
        <v>8850</v>
      </c>
      <c r="U30" s="24">
        <v>350000</v>
      </c>
      <c r="V30" s="25" t="s">
        <v>39</v>
      </c>
      <c r="W30" s="26">
        <v>360000</v>
      </c>
      <c r="X30" s="27">
        <v>350000</v>
      </c>
      <c r="Y30" s="28" t="s">
        <v>16</v>
      </c>
      <c r="Z30" s="27">
        <v>370000</v>
      </c>
      <c r="AA30" s="29" t="s">
        <v>14</v>
      </c>
      <c r="AQ30" s="13"/>
    </row>
    <row r="31" spans="1:43" s="12" customFormat="1">
      <c r="A31" s="1" t="str">
        <f>IF(AND(【更新不要】試算基!B18&gt;=395000,【更新不要】試算基!B18&lt;425000),"●","")</f>
        <v/>
      </c>
      <c r="B31" s="56">
        <v>27</v>
      </c>
      <c r="C31" s="57">
        <v>410000</v>
      </c>
      <c r="D31" s="221">
        <f>ROUNDDOWN(C31*D4/1000,0)</f>
        <v>37966</v>
      </c>
      <c r="E31" s="222"/>
      <c r="F31" s="57">
        <f>ROUND(D31*F4,0)</f>
        <v>37842</v>
      </c>
      <c r="G31" s="57">
        <f>ROUND(D31*G4,0)</f>
        <v>75561</v>
      </c>
      <c r="H31" s="57">
        <f>ROUND(D31*H4,0)</f>
        <v>113156</v>
      </c>
      <c r="I31" s="57">
        <f>ROUND(D31*I4,0)</f>
        <v>150629</v>
      </c>
      <c r="J31" s="57">
        <f>ROUND(D31*J4,0)</f>
        <v>187980</v>
      </c>
      <c r="K31" s="57">
        <f>ROUND(D31*K4,0)</f>
        <v>225209</v>
      </c>
      <c r="L31" s="57">
        <f>ROUND(D31*L4,0)</f>
        <v>262316</v>
      </c>
      <c r="M31" s="57">
        <f>ROUND(D31*M4,0)</f>
        <v>299302</v>
      </c>
      <c r="N31" s="57">
        <f>ROUND(D31*N4,0)</f>
        <v>336167</v>
      </c>
      <c r="O31" s="57">
        <f>ROUND(D31*O4,0)</f>
        <v>372913</v>
      </c>
      <c r="P31" s="57">
        <f>ROUND(D31*P4,0)</f>
        <v>409538</v>
      </c>
      <c r="Q31" s="57">
        <f>ROUND(D31*Q4,0)</f>
        <v>446044</v>
      </c>
      <c r="R31" s="57">
        <f t="shared" si="3"/>
        <v>2587</v>
      </c>
      <c r="S31" s="57">
        <f t="shared" si="2"/>
        <v>9548</v>
      </c>
      <c r="U31" s="24">
        <v>370000</v>
      </c>
      <c r="V31" s="25" t="s">
        <v>40</v>
      </c>
      <c r="W31" s="26">
        <v>380000</v>
      </c>
      <c r="X31" s="27">
        <v>370000</v>
      </c>
      <c r="Y31" s="28" t="s">
        <v>16</v>
      </c>
      <c r="Z31" s="27">
        <v>395000</v>
      </c>
      <c r="AA31" s="29" t="s">
        <v>14</v>
      </c>
      <c r="AQ31" s="13"/>
    </row>
    <row r="32" spans="1:43" s="12" customFormat="1">
      <c r="A32" s="1"/>
      <c r="B32" s="56">
        <v>28</v>
      </c>
      <c r="C32" s="57">
        <v>440000</v>
      </c>
      <c r="D32" s="221">
        <f>ROUNDDOWN(C32*D4/1000,0)</f>
        <v>40744</v>
      </c>
      <c r="E32" s="222"/>
      <c r="F32" s="57">
        <f>ROUND(D32*F4,0)</f>
        <v>40611</v>
      </c>
      <c r="G32" s="57">
        <f>ROUND(D32*G4,0)</f>
        <v>81090</v>
      </c>
      <c r="H32" s="57">
        <f>ROUND(D32*H4,0)</f>
        <v>121436</v>
      </c>
      <c r="I32" s="57">
        <f>ROUND(D32*I4,0)</f>
        <v>161651</v>
      </c>
      <c r="J32" s="57">
        <f>ROUND(D32*J4,0)</f>
        <v>201734</v>
      </c>
      <c r="K32" s="57">
        <f>ROUND(D32*K4,0)</f>
        <v>241687</v>
      </c>
      <c r="L32" s="57">
        <f>ROUND(D32*L4,0)</f>
        <v>281510</v>
      </c>
      <c r="M32" s="57">
        <f>ROUND(D32*M4,0)</f>
        <v>321202</v>
      </c>
      <c r="N32" s="57">
        <f>ROUND(D32*N4,0)</f>
        <v>360765</v>
      </c>
      <c r="O32" s="57">
        <f>ROUND(D32*O4,0)</f>
        <v>400199</v>
      </c>
      <c r="P32" s="57">
        <f>ROUND(D32*P4,0)</f>
        <v>439504</v>
      </c>
      <c r="Q32" s="57">
        <f>ROUND(D32*Q4,0)</f>
        <v>478681</v>
      </c>
      <c r="R32" s="61"/>
      <c r="S32" s="61"/>
      <c r="U32" s="24">
        <v>395000</v>
      </c>
      <c r="V32" s="25" t="s">
        <v>41</v>
      </c>
      <c r="W32" s="26">
        <v>410000</v>
      </c>
      <c r="X32" s="27">
        <v>395000</v>
      </c>
      <c r="Y32" s="28" t="s">
        <v>16</v>
      </c>
      <c r="Z32" s="27">
        <v>425000</v>
      </c>
      <c r="AA32" s="29" t="s">
        <v>14</v>
      </c>
      <c r="AQ32" s="13"/>
    </row>
    <row r="33" spans="1:43" s="12" customFormat="1">
      <c r="A33" s="1"/>
      <c r="B33" s="56">
        <v>29</v>
      </c>
      <c r="C33" s="57">
        <v>470000</v>
      </c>
      <c r="D33" s="221">
        <f>ROUNDDOWN(C33*D4/1000,0)</f>
        <v>43522</v>
      </c>
      <c r="E33" s="222"/>
      <c r="F33" s="57">
        <f>ROUND(D33*F4,0)</f>
        <v>43380</v>
      </c>
      <c r="G33" s="57">
        <f>ROUND(D33*G4,0)</f>
        <v>86618</v>
      </c>
      <c r="H33" s="57">
        <f>ROUND(D33*H4,0)</f>
        <v>129716</v>
      </c>
      <c r="I33" s="57">
        <f>ROUND(D33*I4,0)</f>
        <v>172672</v>
      </c>
      <c r="J33" s="57">
        <f>ROUND(D33*J4,0)</f>
        <v>215489</v>
      </c>
      <c r="K33" s="57">
        <f>ROUND(D33*K4,0)</f>
        <v>258166</v>
      </c>
      <c r="L33" s="57">
        <f>ROUND(D33*L4,0)</f>
        <v>300703</v>
      </c>
      <c r="M33" s="57">
        <f>ROUND(D33*M4,0)</f>
        <v>343102</v>
      </c>
      <c r="N33" s="57">
        <f>ROUND(D33*N4,0)</f>
        <v>385363</v>
      </c>
      <c r="O33" s="57">
        <f>ROUND(D33*O4,0)</f>
        <v>427485</v>
      </c>
      <c r="P33" s="57">
        <f>ROUND(D33*P4,0)</f>
        <v>469470</v>
      </c>
      <c r="Q33" s="57">
        <f>ROUND(D33*Q4,0)</f>
        <v>511318</v>
      </c>
      <c r="R33" s="61"/>
      <c r="S33" s="61"/>
      <c r="U33" s="24">
        <v>425000</v>
      </c>
      <c r="V33" s="25" t="s">
        <v>42</v>
      </c>
      <c r="W33" s="26">
        <v>440000</v>
      </c>
      <c r="X33" s="27">
        <v>425000</v>
      </c>
      <c r="Y33" s="28" t="s">
        <v>16</v>
      </c>
      <c r="Z33" s="27">
        <v>455000</v>
      </c>
      <c r="AA33" s="29" t="s">
        <v>14</v>
      </c>
      <c r="AQ33" s="13"/>
    </row>
    <row r="34" spans="1:43" s="12" customFormat="1">
      <c r="B34" s="12" t="s">
        <v>55</v>
      </c>
      <c r="R34" s="2"/>
      <c r="S34" s="2"/>
      <c r="U34" s="24">
        <v>455000</v>
      </c>
      <c r="V34" s="25" t="s">
        <v>43</v>
      </c>
      <c r="W34" s="26">
        <v>470000</v>
      </c>
      <c r="X34" s="27">
        <v>455000</v>
      </c>
      <c r="Y34" s="28" t="s">
        <v>16</v>
      </c>
      <c r="Z34" s="27">
        <v>485000</v>
      </c>
      <c r="AA34" s="29" t="s">
        <v>14</v>
      </c>
      <c r="AQ34" s="13"/>
    </row>
    <row r="35" spans="1:43" s="12" customFormat="1">
      <c r="B35" s="12" t="s">
        <v>53</v>
      </c>
      <c r="R35" s="2"/>
      <c r="S35" s="2"/>
      <c r="U35" s="24">
        <v>485000</v>
      </c>
      <c r="V35" s="25" t="s">
        <v>44</v>
      </c>
      <c r="W35" s="26">
        <v>500000</v>
      </c>
      <c r="X35" s="27">
        <v>485000</v>
      </c>
      <c r="Y35" s="28" t="s">
        <v>16</v>
      </c>
      <c r="Z35" s="27">
        <v>515000</v>
      </c>
      <c r="AA35" s="29" t="s">
        <v>14</v>
      </c>
      <c r="AQ35" s="13"/>
    </row>
    <row r="36" spans="1:43" s="12" customFormat="1">
      <c r="B36" s="12" t="s">
        <v>52</v>
      </c>
      <c r="R36" s="2"/>
      <c r="S36" s="2"/>
      <c r="U36" s="24">
        <v>515000</v>
      </c>
      <c r="V36" s="25" t="s">
        <v>56</v>
      </c>
      <c r="W36" s="26">
        <v>530000</v>
      </c>
      <c r="X36" s="27">
        <v>515000</v>
      </c>
      <c r="Y36" s="28" t="s">
        <v>16</v>
      </c>
      <c r="Z36" s="27">
        <v>545000</v>
      </c>
      <c r="AA36" s="29" t="s">
        <v>14</v>
      </c>
      <c r="AQ36" s="13"/>
    </row>
    <row r="37" spans="1:43" s="12" customFormat="1">
      <c r="R37" s="2"/>
      <c r="S37" s="2"/>
      <c r="U37" s="24">
        <v>545000</v>
      </c>
      <c r="V37" s="25" t="s">
        <v>57</v>
      </c>
      <c r="W37" s="26">
        <v>560000</v>
      </c>
      <c r="X37" s="27">
        <v>545000</v>
      </c>
      <c r="Y37" s="28" t="s">
        <v>16</v>
      </c>
      <c r="Z37" s="27">
        <v>575000</v>
      </c>
      <c r="AA37" s="29" t="s">
        <v>14</v>
      </c>
      <c r="AQ37" s="13"/>
    </row>
    <row r="38" spans="1:43" s="12" customFormat="1">
      <c r="B38" s="12" t="s">
        <v>7</v>
      </c>
      <c r="H38" s="2"/>
      <c r="R38" s="2"/>
      <c r="S38" s="2"/>
      <c r="U38" s="24">
        <v>575000</v>
      </c>
      <c r="V38" s="25" t="s">
        <v>58</v>
      </c>
      <c r="W38" s="26">
        <v>590000</v>
      </c>
      <c r="X38" s="27">
        <v>575000</v>
      </c>
      <c r="Y38" s="28" t="s">
        <v>16</v>
      </c>
      <c r="Z38" s="27">
        <v>605000</v>
      </c>
      <c r="AA38" s="29" t="s">
        <v>14</v>
      </c>
      <c r="AQ38" s="13"/>
    </row>
    <row r="39" spans="1:43" s="12" customFormat="1">
      <c r="A39" s="223"/>
      <c r="B39" s="14" t="s">
        <v>0</v>
      </c>
      <c r="C39" s="15" t="s">
        <v>0</v>
      </c>
      <c r="D39" s="224" t="s">
        <v>74</v>
      </c>
      <c r="E39" s="224"/>
      <c r="F39" s="225" t="s">
        <v>5</v>
      </c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7"/>
      <c r="R39" s="2"/>
      <c r="S39" s="2"/>
      <c r="U39" s="31">
        <v>605000</v>
      </c>
      <c r="V39" s="25" t="s">
        <v>59</v>
      </c>
      <c r="W39" s="32">
        <v>620000</v>
      </c>
      <c r="X39" s="27">
        <v>605000</v>
      </c>
      <c r="Y39" s="28" t="s">
        <v>16</v>
      </c>
      <c r="Z39" s="27">
        <v>635000</v>
      </c>
      <c r="AA39" s="29" t="s">
        <v>14</v>
      </c>
      <c r="AQ39" s="13"/>
    </row>
    <row r="40" spans="1:43" s="12" customFormat="1">
      <c r="A40" s="223"/>
      <c r="B40" s="16" t="s">
        <v>1</v>
      </c>
      <c r="C40" s="17" t="s">
        <v>3</v>
      </c>
      <c r="D40" s="18"/>
      <c r="E40" s="30"/>
      <c r="F40" s="3">
        <v>1</v>
      </c>
      <c r="G40" s="3">
        <v>2</v>
      </c>
      <c r="H40" s="3">
        <v>3</v>
      </c>
      <c r="I40" s="3">
        <v>4</v>
      </c>
      <c r="J40" s="3">
        <v>5</v>
      </c>
      <c r="K40" s="3">
        <v>6</v>
      </c>
      <c r="L40" s="3">
        <v>7</v>
      </c>
      <c r="M40" s="3">
        <v>8</v>
      </c>
      <c r="N40" s="3">
        <v>9</v>
      </c>
      <c r="O40" s="3">
        <v>10</v>
      </c>
      <c r="P40" s="3">
        <v>11</v>
      </c>
      <c r="Q40" s="3">
        <v>12</v>
      </c>
      <c r="R40" s="4" t="s">
        <v>47</v>
      </c>
      <c r="S40" s="4" t="s">
        <v>48</v>
      </c>
      <c r="U40" s="24">
        <v>635000</v>
      </c>
      <c r="V40" s="25" t="s">
        <v>60</v>
      </c>
      <c r="W40" s="26">
        <v>650000</v>
      </c>
      <c r="X40" s="27">
        <v>635000</v>
      </c>
      <c r="Y40" s="28" t="s">
        <v>16</v>
      </c>
      <c r="Z40" s="27">
        <v>665000</v>
      </c>
      <c r="AA40" s="29" t="s">
        <v>14</v>
      </c>
      <c r="AQ40" s="13"/>
    </row>
    <row r="41" spans="1:43" s="12" customFormat="1">
      <c r="B41" s="3"/>
      <c r="C41" s="3"/>
      <c r="D41" s="55">
        <v>17.899999999999999</v>
      </c>
      <c r="E41" s="19" t="s">
        <v>72</v>
      </c>
      <c r="F41" s="3">
        <v>0.99673699999999998</v>
      </c>
      <c r="G41" s="3">
        <v>1.990221</v>
      </c>
      <c r="H41" s="3">
        <v>2.980464</v>
      </c>
      <c r="I41" s="3">
        <v>3.967476</v>
      </c>
      <c r="J41" s="3">
        <v>4.9512669999999996</v>
      </c>
      <c r="K41" s="3">
        <v>5.9318470000000003</v>
      </c>
      <c r="L41" s="3">
        <v>6.9092279999999997</v>
      </c>
      <c r="M41" s="3">
        <v>7.8834200000000001</v>
      </c>
      <c r="N41" s="3">
        <v>8.8544330000000002</v>
      </c>
      <c r="O41" s="3">
        <v>9.8222769999999997</v>
      </c>
      <c r="P41" s="3">
        <v>10.786963999999999</v>
      </c>
      <c r="Q41" s="3">
        <v>11.748502</v>
      </c>
      <c r="R41" s="59" t="s">
        <v>75</v>
      </c>
      <c r="S41" s="60"/>
      <c r="U41" s="24">
        <v>665000</v>
      </c>
      <c r="V41" s="25" t="s">
        <v>61</v>
      </c>
      <c r="W41" s="26">
        <v>680000</v>
      </c>
      <c r="X41" s="27">
        <v>665000</v>
      </c>
      <c r="Y41" s="28" t="s">
        <v>16</v>
      </c>
      <c r="Z41" s="27">
        <v>695000</v>
      </c>
      <c r="AA41" s="29" t="s">
        <v>14</v>
      </c>
      <c r="AQ41" s="13"/>
    </row>
    <row r="42" spans="1:43" s="12" customFormat="1">
      <c r="B42" s="3">
        <v>1</v>
      </c>
      <c r="C42" s="20">
        <v>58000</v>
      </c>
      <c r="D42" s="228">
        <f>ROUNDDOWN(C42*D41/1000,0)</f>
        <v>1038</v>
      </c>
      <c r="E42" s="229"/>
      <c r="F42" s="4">
        <f>ROUND(D42*F41,0)</f>
        <v>1035</v>
      </c>
      <c r="G42" s="4">
        <f>ROUND(D42*G41,0)</f>
        <v>2066</v>
      </c>
      <c r="H42" s="4">
        <f>ROUND(D42*H41,0)</f>
        <v>3094</v>
      </c>
      <c r="I42" s="4">
        <f>ROUND(D42*I41,0)</f>
        <v>4118</v>
      </c>
      <c r="J42" s="4">
        <f>ROUND(D42*J41,0)</f>
        <v>5139</v>
      </c>
      <c r="K42" s="4">
        <f>ROUND(D42*K41,0)</f>
        <v>6157</v>
      </c>
      <c r="L42" s="4">
        <f>ROUND(D42*L41,0)</f>
        <v>7172</v>
      </c>
      <c r="M42" s="4">
        <f>ROUND(D42*M41,0)</f>
        <v>8183</v>
      </c>
      <c r="N42" s="4">
        <f>ROUND(D42*N41,0)</f>
        <v>9191</v>
      </c>
      <c r="O42" s="4">
        <f>ROUND(D42*O41,0)</f>
        <v>10196</v>
      </c>
      <c r="P42" s="4">
        <f>ROUND(D42*P41,0)</f>
        <v>11197</v>
      </c>
      <c r="Q42" s="4">
        <f>ROUND(D42*Q41,0)</f>
        <v>12195</v>
      </c>
      <c r="R42" s="4">
        <f t="shared" ref="R42:R45" si="4">D42*6-K42</f>
        <v>71</v>
      </c>
      <c r="S42" s="4">
        <f t="shared" ref="S42:S45" si="5">D42*12-Q42</f>
        <v>261</v>
      </c>
      <c r="U42" s="31">
        <v>695000</v>
      </c>
      <c r="V42" s="25" t="s">
        <v>62</v>
      </c>
      <c r="W42" s="32">
        <v>710000</v>
      </c>
      <c r="X42" s="27">
        <v>695000</v>
      </c>
      <c r="Y42" s="28" t="s">
        <v>16</v>
      </c>
      <c r="Z42" s="27">
        <v>730000</v>
      </c>
      <c r="AA42" s="29" t="s">
        <v>14</v>
      </c>
      <c r="AQ42" s="13"/>
    </row>
    <row r="43" spans="1:43" s="12" customFormat="1">
      <c r="B43" s="3">
        <v>2</v>
      </c>
      <c r="C43" s="20">
        <v>68000</v>
      </c>
      <c r="D43" s="228">
        <f>ROUNDDOWN(C43*D41/1000,0)</f>
        <v>1217</v>
      </c>
      <c r="E43" s="229"/>
      <c r="F43" s="4">
        <f>ROUND(D43*F41,0)</f>
        <v>1213</v>
      </c>
      <c r="G43" s="4">
        <f>ROUND(D43*G41,0)</f>
        <v>2422</v>
      </c>
      <c r="H43" s="4">
        <f>ROUND(D43*H41,0)</f>
        <v>3627</v>
      </c>
      <c r="I43" s="4">
        <f>ROUND(D43*I41,0)</f>
        <v>4828</v>
      </c>
      <c r="J43" s="4">
        <f>ROUND(D43*J41,0)</f>
        <v>6026</v>
      </c>
      <c r="K43" s="4">
        <f>ROUND(D43*K41,0)</f>
        <v>7219</v>
      </c>
      <c r="L43" s="4">
        <f>ROUND(D43*L41,0)</f>
        <v>8409</v>
      </c>
      <c r="M43" s="4">
        <f>ROUND(D43*M41,0)</f>
        <v>9594</v>
      </c>
      <c r="N43" s="4">
        <f>ROUND(D43*N41,0)</f>
        <v>10776</v>
      </c>
      <c r="O43" s="4">
        <f>ROUND(D43*O41,0)</f>
        <v>11954</v>
      </c>
      <c r="P43" s="4">
        <f>ROUND(D43*P41,0)</f>
        <v>13128</v>
      </c>
      <c r="Q43" s="4">
        <f>ROUND(D43*Q41,0)</f>
        <v>14298</v>
      </c>
      <c r="R43" s="4">
        <f t="shared" si="4"/>
        <v>83</v>
      </c>
      <c r="S43" s="4">
        <f t="shared" si="5"/>
        <v>306</v>
      </c>
      <c r="U43" s="24">
        <v>730000</v>
      </c>
      <c r="V43" s="25" t="s">
        <v>63</v>
      </c>
      <c r="W43" s="26">
        <v>750000</v>
      </c>
      <c r="X43" s="27">
        <v>730000</v>
      </c>
      <c r="Y43" s="28" t="s">
        <v>16</v>
      </c>
      <c r="Z43" s="27">
        <v>770000</v>
      </c>
      <c r="AA43" s="29" t="s">
        <v>14</v>
      </c>
      <c r="AQ43" s="13"/>
    </row>
    <row r="44" spans="1:43" s="12" customFormat="1">
      <c r="B44" s="3">
        <v>3</v>
      </c>
      <c r="C44" s="20">
        <v>78000</v>
      </c>
      <c r="D44" s="228">
        <f>ROUNDDOWN(C44*D41/1000,0)</f>
        <v>1396</v>
      </c>
      <c r="E44" s="229"/>
      <c r="F44" s="4">
        <f>ROUND(D44*F41,0)</f>
        <v>1391</v>
      </c>
      <c r="G44" s="4">
        <f>ROUND(D44*G41,0)</f>
        <v>2778</v>
      </c>
      <c r="H44" s="4">
        <f>ROUND(D44*H41,0)</f>
        <v>4161</v>
      </c>
      <c r="I44" s="4">
        <f>ROUND(D44*I41,0)</f>
        <v>5539</v>
      </c>
      <c r="J44" s="4">
        <f>ROUND(D44*J41,0)</f>
        <v>6912</v>
      </c>
      <c r="K44" s="4">
        <f>ROUND(D44*K41,0)</f>
        <v>8281</v>
      </c>
      <c r="L44" s="4">
        <f>ROUND(D44*L41,0)</f>
        <v>9645</v>
      </c>
      <c r="M44" s="4">
        <f>ROUND(D44*M41,0)</f>
        <v>11005</v>
      </c>
      <c r="N44" s="4">
        <f>ROUND(D44*N41,0)</f>
        <v>12361</v>
      </c>
      <c r="O44" s="4">
        <f>ROUND(D44*O41,0)</f>
        <v>13712</v>
      </c>
      <c r="P44" s="4">
        <f>ROUND(D44*P41,0)</f>
        <v>15059</v>
      </c>
      <c r="Q44" s="4">
        <f>ROUND(D44*Q41,0)</f>
        <v>16401</v>
      </c>
      <c r="R44" s="4">
        <f t="shared" si="4"/>
        <v>95</v>
      </c>
      <c r="S44" s="4">
        <f t="shared" si="5"/>
        <v>351</v>
      </c>
      <c r="U44" s="24">
        <v>770000</v>
      </c>
      <c r="V44" s="25" t="s">
        <v>64</v>
      </c>
      <c r="W44" s="26">
        <v>790000</v>
      </c>
      <c r="X44" s="27">
        <v>770000</v>
      </c>
      <c r="Y44" s="28" t="s">
        <v>16</v>
      </c>
      <c r="Z44" s="27">
        <v>810000</v>
      </c>
      <c r="AA44" s="29" t="s">
        <v>14</v>
      </c>
      <c r="AQ44" s="13"/>
    </row>
    <row r="45" spans="1:43" s="12" customFormat="1">
      <c r="B45" s="3">
        <v>4</v>
      </c>
      <c r="C45" s="20">
        <v>88000</v>
      </c>
      <c r="D45" s="228">
        <f>ROUNDDOWN(C45*D41/1000,0)</f>
        <v>1575</v>
      </c>
      <c r="E45" s="229"/>
      <c r="F45" s="4">
        <f>ROUND(D45*F41,0)</f>
        <v>1570</v>
      </c>
      <c r="G45" s="4">
        <f>ROUND(D45*G41,0)</f>
        <v>3135</v>
      </c>
      <c r="H45" s="4">
        <f>ROUND(D45*H41,0)</f>
        <v>4694</v>
      </c>
      <c r="I45" s="4">
        <f>ROUND(D45*I41,0)</f>
        <v>6249</v>
      </c>
      <c r="J45" s="4">
        <f>ROUND(D45*J41,0)</f>
        <v>7798</v>
      </c>
      <c r="K45" s="4">
        <f>ROUND(D45*K41,0)</f>
        <v>9343</v>
      </c>
      <c r="L45" s="4">
        <f>ROUND(D45*L41,0)</f>
        <v>10882</v>
      </c>
      <c r="M45" s="4">
        <f>ROUND(D45*M41,0)</f>
        <v>12416</v>
      </c>
      <c r="N45" s="4">
        <f>ROUND(D45*N41,0)</f>
        <v>13946</v>
      </c>
      <c r="O45" s="4">
        <f>ROUND(D45*O41,0)</f>
        <v>15470</v>
      </c>
      <c r="P45" s="4">
        <f>ROUND(D45*P41,0)</f>
        <v>16989</v>
      </c>
      <c r="Q45" s="4">
        <f>ROUND(D45*Q41,0)</f>
        <v>18504</v>
      </c>
      <c r="R45" s="4">
        <f t="shared" si="4"/>
        <v>107</v>
      </c>
      <c r="S45" s="4">
        <f t="shared" si="5"/>
        <v>396</v>
      </c>
      <c r="U45" s="31">
        <v>810000</v>
      </c>
      <c r="V45" s="25" t="s">
        <v>65</v>
      </c>
      <c r="W45" s="32">
        <v>830000</v>
      </c>
      <c r="X45" s="27">
        <v>810000</v>
      </c>
      <c r="Y45" s="28" t="s">
        <v>16</v>
      </c>
      <c r="Z45" s="27">
        <v>855000</v>
      </c>
      <c r="AA45" s="29" t="s">
        <v>14</v>
      </c>
      <c r="AQ45" s="13"/>
    </row>
    <row r="46" spans="1:43" s="12" customFormat="1">
      <c r="A46" s="1" t="str">
        <f>IF(【更新不要】試算基!B18&lt;101000,"●","")</f>
        <v/>
      </c>
      <c r="B46" s="3">
        <v>5</v>
      </c>
      <c r="C46" s="20">
        <v>98000</v>
      </c>
      <c r="D46" s="215">
        <f>ROUNDDOWN(C46*D41/1000,0)</f>
        <v>1754</v>
      </c>
      <c r="E46" s="216"/>
      <c r="F46" s="4">
        <f>ROUND(D46*F41,0)</f>
        <v>1748</v>
      </c>
      <c r="G46" s="4">
        <f>ROUND(D46*G41,0)</f>
        <v>3491</v>
      </c>
      <c r="H46" s="4">
        <f>ROUND(D46*H41,0)</f>
        <v>5228</v>
      </c>
      <c r="I46" s="4">
        <f>ROUND(D46*I41,0)</f>
        <v>6959</v>
      </c>
      <c r="J46" s="4">
        <f>ROUND(D46*J41,0)</f>
        <v>8685</v>
      </c>
      <c r="K46" s="4">
        <f>ROUND(D46*K41,0)</f>
        <v>10404</v>
      </c>
      <c r="L46" s="4">
        <f>ROUND(D46*L41,0)</f>
        <v>12119</v>
      </c>
      <c r="M46" s="4">
        <f>ROUND(D46*M41,0)</f>
        <v>13828</v>
      </c>
      <c r="N46" s="4">
        <f>ROUND(D46*N41,0)</f>
        <v>15531</v>
      </c>
      <c r="O46" s="4">
        <f>ROUND(D46*O41,0)</f>
        <v>17228</v>
      </c>
      <c r="P46" s="4">
        <f>ROUND(D46*P41,0)</f>
        <v>18920</v>
      </c>
      <c r="Q46" s="4">
        <f>ROUND(D46*Q41,0)</f>
        <v>20607</v>
      </c>
      <c r="R46" s="4">
        <f t="shared" ref="R46:R68" si="6">D46*6-K46</f>
        <v>120</v>
      </c>
      <c r="S46" s="4">
        <f t="shared" ref="S46:S68" si="7">D46*12-Q46</f>
        <v>441</v>
      </c>
      <c r="U46" s="24">
        <v>855000</v>
      </c>
      <c r="V46" s="25" t="s">
        <v>66</v>
      </c>
      <c r="W46" s="26">
        <v>880000</v>
      </c>
      <c r="X46" s="27">
        <v>855000</v>
      </c>
      <c r="Y46" s="28" t="s">
        <v>16</v>
      </c>
      <c r="Z46" s="27">
        <v>905000</v>
      </c>
      <c r="AA46" s="29" t="s">
        <v>14</v>
      </c>
      <c r="AQ46" s="13"/>
    </row>
    <row r="47" spans="1:43" s="12" customFormat="1">
      <c r="A47" s="1" t="str">
        <f>IF(AND(【更新不要】試算基!B18&gt;=101000,【更新不要】試算基!B18&lt;107000),"●","")</f>
        <v/>
      </c>
      <c r="B47" s="3">
        <v>6</v>
      </c>
      <c r="C47" s="4">
        <v>104000</v>
      </c>
      <c r="D47" s="215">
        <f>ROUNDDOWN(C47*D41/1000,0)</f>
        <v>1861</v>
      </c>
      <c r="E47" s="216"/>
      <c r="F47" s="4">
        <f>ROUND(D47*F41,0)</f>
        <v>1855</v>
      </c>
      <c r="G47" s="4">
        <f>ROUND(D47*G41,0)</f>
        <v>3704</v>
      </c>
      <c r="H47" s="4">
        <f>ROUND(D47*H41,0)</f>
        <v>5547</v>
      </c>
      <c r="I47" s="4">
        <f>ROUND(D47*I41,0)</f>
        <v>7383</v>
      </c>
      <c r="J47" s="4">
        <f>ROUND(D47*J41,0)</f>
        <v>9214</v>
      </c>
      <c r="K47" s="4">
        <f>ROUND(D47*K41,0)</f>
        <v>11039</v>
      </c>
      <c r="L47" s="4">
        <f>ROUND(D47*L41,0)</f>
        <v>12858</v>
      </c>
      <c r="M47" s="4">
        <f>ROUND(D47*M41,0)</f>
        <v>14671</v>
      </c>
      <c r="N47" s="4">
        <f>ROUND(D47*N41,0)</f>
        <v>16478</v>
      </c>
      <c r="O47" s="4">
        <f>ROUND(D47*O41,0)</f>
        <v>18279</v>
      </c>
      <c r="P47" s="4">
        <f>ROUND(D47*P41,0)</f>
        <v>20075</v>
      </c>
      <c r="Q47" s="4">
        <f>ROUND(D47*Q41,0)</f>
        <v>21864</v>
      </c>
      <c r="R47" s="4">
        <f t="shared" si="6"/>
        <v>127</v>
      </c>
      <c r="S47" s="4">
        <f t="shared" si="7"/>
        <v>468</v>
      </c>
      <c r="U47" s="24">
        <v>905000</v>
      </c>
      <c r="V47" s="25" t="s">
        <v>67</v>
      </c>
      <c r="W47" s="26">
        <v>930000</v>
      </c>
      <c r="X47" s="27">
        <v>905000</v>
      </c>
      <c r="Y47" s="28" t="s">
        <v>16</v>
      </c>
      <c r="Z47" s="27">
        <v>955000</v>
      </c>
      <c r="AA47" s="29" t="s">
        <v>14</v>
      </c>
      <c r="AQ47" s="13"/>
    </row>
    <row r="48" spans="1:43" s="12" customFormat="1">
      <c r="A48" s="1" t="str">
        <f>IF(AND(【更新不要】試算基!B18&gt;=107000,【更新不要】試算基!B18&lt;114000),"●","")</f>
        <v/>
      </c>
      <c r="B48" s="3">
        <v>7</v>
      </c>
      <c r="C48" s="4">
        <v>110000</v>
      </c>
      <c r="D48" s="215">
        <f>ROUNDDOWN(C48*D41/1000,0)</f>
        <v>1969</v>
      </c>
      <c r="E48" s="216"/>
      <c r="F48" s="4">
        <f>ROUND(D48*F41,0)</f>
        <v>1963</v>
      </c>
      <c r="G48" s="4">
        <f>ROUND(D48*G41,0)</f>
        <v>3919</v>
      </c>
      <c r="H48" s="4">
        <f>ROUND(D48*H41,0)</f>
        <v>5869</v>
      </c>
      <c r="I48" s="4">
        <f>ROUND(D48*I41,0)</f>
        <v>7812</v>
      </c>
      <c r="J48" s="4">
        <f>ROUND(D48*J41,0)</f>
        <v>9749</v>
      </c>
      <c r="K48" s="4">
        <f>ROUND(D48*K41,0)</f>
        <v>11680</v>
      </c>
      <c r="L48" s="4">
        <f>ROUND(D48*L41,0)</f>
        <v>13604</v>
      </c>
      <c r="M48" s="4">
        <f>ROUND(D48*M41,0)</f>
        <v>15522</v>
      </c>
      <c r="N48" s="4">
        <f>ROUND(D48*N41,0)</f>
        <v>17434</v>
      </c>
      <c r="O48" s="4">
        <f>ROUND(D48*O41,0)</f>
        <v>19340</v>
      </c>
      <c r="P48" s="4">
        <f>ROUND(D48*P41,0)</f>
        <v>21240</v>
      </c>
      <c r="Q48" s="4">
        <f>ROUND(D48*Q41,0)</f>
        <v>23133</v>
      </c>
      <c r="R48" s="4">
        <f t="shared" si="6"/>
        <v>134</v>
      </c>
      <c r="S48" s="4">
        <f t="shared" si="7"/>
        <v>495</v>
      </c>
      <c r="U48" s="31">
        <v>955000</v>
      </c>
      <c r="V48" s="25" t="s">
        <v>68</v>
      </c>
      <c r="W48" s="32">
        <v>980000</v>
      </c>
      <c r="X48" s="27">
        <v>955000</v>
      </c>
      <c r="Y48" s="28" t="s">
        <v>16</v>
      </c>
      <c r="Z48" s="27">
        <v>1005000</v>
      </c>
      <c r="AA48" s="29" t="s">
        <v>14</v>
      </c>
      <c r="AQ48" s="13"/>
    </row>
    <row r="49" spans="1:43" s="12" customFormat="1">
      <c r="A49" s="1" t="str">
        <f>IF(AND(【更新不要】試算基!B18&gt;=114000,【更新不要】試算基!B18&lt;122000),"●","")</f>
        <v/>
      </c>
      <c r="B49" s="3">
        <v>8</v>
      </c>
      <c r="C49" s="4">
        <v>118000</v>
      </c>
      <c r="D49" s="215">
        <f>ROUNDDOWN(C49*D41/1000,0)</f>
        <v>2112</v>
      </c>
      <c r="E49" s="216"/>
      <c r="F49" s="4">
        <f>ROUND(D49*F41,0)</f>
        <v>2105</v>
      </c>
      <c r="G49" s="4">
        <f>ROUND(D49*G41,0)</f>
        <v>4203</v>
      </c>
      <c r="H49" s="4">
        <f>ROUND(D49*H41,0)</f>
        <v>6295</v>
      </c>
      <c r="I49" s="4">
        <f>ROUND(D49*I41,0)</f>
        <v>8379</v>
      </c>
      <c r="J49" s="4">
        <f>ROUND(D49*J41,0)</f>
        <v>10457</v>
      </c>
      <c r="K49" s="4">
        <f>ROUND(D49*K41,0)</f>
        <v>12528</v>
      </c>
      <c r="L49" s="4">
        <f>ROUND(D49*L41,0)</f>
        <v>14592</v>
      </c>
      <c r="M49" s="4">
        <f>ROUND(D49*M41,0)</f>
        <v>16650</v>
      </c>
      <c r="N49" s="4">
        <f>ROUND(D49*N41,0)</f>
        <v>18701</v>
      </c>
      <c r="O49" s="4">
        <f>ROUND(D49*O41,0)</f>
        <v>20745</v>
      </c>
      <c r="P49" s="4">
        <f>ROUND(D49*P41,0)</f>
        <v>22782</v>
      </c>
      <c r="Q49" s="4">
        <f>ROUND(D49*Q41,0)</f>
        <v>24813</v>
      </c>
      <c r="R49" s="4">
        <f t="shared" si="6"/>
        <v>144</v>
      </c>
      <c r="S49" s="4">
        <f t="shared" si="7"/>
        <v>531</v>
      </c>
      <c r="U49" s="24">
        <v>1005000</v>
      </c>
      <c r="V49" s="25" t="s">
        <v>104</v>
      </c>
      <c r="W49" s="26">
        <v>1030000</v>
      </c>
      <c r="X49" s="27">
        <v>1005000</v>
      </c>
      <c r="Y49" s="28" t="s">
        <v>16</v>
      </c>
      <c r="Z49" s="27">
        <v>1055000</v>
      </c>
      <c r="AA49" s="29" t="s">
        <v>14</v>
      </c>
      <c r="AQ49" s="13"/>
    </row>
    <row r="50" spans="1:43" s="12" customFormat="1">
      <c r="A50" s="1" t="str">
        <f>IF(AND(【更新不要】試算基!B18&gt;=122000,【更新不要】試算基!B18&lt;130000),"●","")</f>
        <v/>
      </c>
      <c r="B50" s="3">
        <v>9</v>
      </c>
      <c r="C50" s="4">
        <v>126000</v>
      </c>
      <c r="D50" s="215">
        <f>ROUNDDOWN(C50*D41/1000,0)</f>
        <v>2255</v>
      </c>
      <c r="E50" s="216"/>
      <c r="F50" s="4">
        <f>ROUND(D50*F41,0)</f>
        <v>2248</v>
      </c>
      <c r="G50" s="4">
        <f>ROUND(D50*G41,0)</f>
        <v>4488</v>
      </c>
      <c r="H50" s="4">
        <f>ROUND(D50*H41,0)</f>
        <v>6721</v>
      </c>
      <c r="I50" s="4">
        <f>ROUND(D50*I41,0)</f>
        <v>8947</v>
      </c>
      <c r="J50" s="4">
        <f>ROUND(D50*J41,0)</f>
        <v>11165</v>
      </c>
      <c r="K50" s="4">
        <f>ROUND(D50*K41,0)</f>
        <v>13376</v>
      </c>
      <c r="L50" s="4">
        <f>ROUND(D50*L41,0)</f>
        <v>15580</v>
      </c>
      <c r="M50" s="4">
        <f>ROUND(D50*M41,0)</f>
        <v>17777</v>
      </c>
      <c r="N50" s="4">
        <f>ROUND(D50*N41,0)</f>
        <v>19967</v>
      </c>
      <c r="O50" s="4">
        <f>ROUND(D50*O41,0)</f>
        <v>22149</v>
      </c>
      <c r="P50" s="4">
        <f>ROUND(D50*P41,0)</f>
        <v>24325</v>
      </c>
      <c r="Q50" s="4">
        <f>ROUND(D50*Q41,0)</f>
        <v>26493</v>
      </c>
      <c r="R50" s="4">
        <f t="shared" si="6"/>
        <v>154</v>
      </c>
      <c r="S50" s="4">
        <f t="shared" si="7"/>
        <v>567</v>
      </c>
      <c r="U50" s="24">
        <v>1055000</v>
      </c>
      <c r="V50" s="25" t="s">
        <v>105</v>
      </c>
      <c r="W50" s="26">
        <v>1090000</v>
      </c>
      <c r="X50" s="27">
        <v>1055000</v>
      </c>
      <c r="Y50" s="28" t="s">
        <v>16</v>
      </c>
      <c r="Z50" s="27">
        <v>1115000</v>
      </c>
      <c r="AA50" s="29" t="s">
        <v>14</v>
      </c>
      <c r="AQ50" s="13"/>
    </row>
    <row r="51" spans="1:43" s="12" customFormat="1">
      <c r="A51" s="1" t="str">
        <f>IF(AND(【更新不要】試算基!B18&gt;=130000,【更新不要】試算基!B18&lt;138000),"●","")</f>
        <v/>
      </c>
      <c r="B51" s="3">
        <v>10</v>
      </c>
      <c r="C51" s="4">
        <v>134000</v>
      </c>
      <c r="D51" s="215">
        <f>ROUNDDOWN(C51*D41/1000,0)</f>
        <v>2398</v>
      </c>
      <c r="E51" s="216"/>
      <c r="F51" s="4">
        <f>ROUND(D51*F41,0)</f>
        <v>2390</v>
      </c>
      <c r="G51" s="4">
        <f>ROUND(D51*G41,0)</f>
        <v>4773</v>
      </c>
      <c r="H51" s="4">
        <f>ROUND(D51*H41,0)</f>
        <v>7147</v>
      </c>
      <c r="I51" s="4">
        <f>ROUND(D51*I41,0)</f>
        <v>9514</v>
      </c>
      <c r="J51" s="4">
        <f>ROUND(D51*J41,0)</f>
        <v>11873</v>
      </c>
      <c r="K51" s="4">
        <f>ROUND(D51*K41,0)</f>
        <v>14225</v>
      </c>
      <c r="L51" s="4">
        <f>ROUND(D51*L41,0)</f>
        <v>16568</v>
      </c>
      <c r="M51" s="4">
        <f>ROUND(D51*M41,0)</f>
        <v>18904</v>
      </c>
      <c r="N51" s="4">
        <f>ROUND(D51*N41,0)</f>
        <v>21233</v>
      </c>
      <c r="O51" s="4">
        <f>ROUND(D51*O41,0)</f>
        <v>23554</v>
      </c>
      <c r="P51" s="4">
        <f>ROUND(D51*P41,0)</f>
        <v>25867</v>
      </c>
      <c r="Q51" s="4">
        <f>ROUND(D51*Q41,0)</f>
        <v>28173</v>
      </c>
      <c r="R51" s="4">
        <f t="shared" si="6"/>
        <v>163</v>
      </c>
      <c r="S51" s="4">
        <f t="shared" si="7"/>
        <v>603</v>
      </c>
      <c r="U51" s="31">
        <v>1115000</v>
      </c>
      <c r="V51" s="25" t="s">
        <v>106</v>
      </c>
      <c r="W51" s="32">
        <v>1150000</v>
      </c>
      <c r="X51" s="27">
        <v>1115000</v>
      </c>
      <c r="Y51" s="28" t="s">
        <v>16</v>
      </c>
      <c r="Z51" s="27">
        <v>1175000</v>
      </c>
      <c r="AA51" s="29" t="s">
        <v>14</v>
      </c>
      <c r="AQ51" s="13"/>
    </row>
    <row r="52" spans="1:43" s="12" customFormat="1">
      <c r="A52" s="1" t="str">
        <f>IF(AND(【更新不要】試算基!B18&gt;=138000,【更新不要】試算基!B18&lt;146000),"●","")</f>
        <v/>
      </c>
      <c r="B52" s="3">
        <v>11</v>
      </c>
      <c r="C52" s="4">
        <v>142000</v>
      </c>
      <c r="D52" s="215">
        <f>ROUNDDOWN(C52*D41/1000,0)</f>
        <v>2541</v>
      </c>
      <c r="E52" s="216"/>
      <c r="F52" s="4">
        <f>ROUND(D52*F41,0)</f>
        <v>2533</v>
      </c>
      <c r="G52" s="4">
        <f>ROUND(D52*G41,0)</f>
        <v>5057</v>
      </c>
      <c r="H52" s="4">
        <f>ROUND(D52*H41,0)</f>
        <v>7573</v>
      </c>
      <c r="I52" s="4">
        <f>ROUND(D52*I41,0)</f>
        <v>10081</v>
      </c>
      <c r="J52" s="4">
        <f>ROUND(D52*J41,0)</f>
        <v>12581</v>
      </c>
      <c r="K52" s="4">
        <f>ROUND(D52*K41,0)</f>
        <v>15073</v>
      </c>
      <c r="L52" s="4">
        <f>ROUND(D52*L41,0)</f>
        <v>17556</v>
      </c>
      <c r="M52" s="4">
        <f>ROUND(D52*M41,0)</f>
        <v>20032</v>
      </c>
      <c r="N52" s="4">
        <f>ROUND(D52*N41,0)</f>
        <v>22499</v>
      </c>
      <c r="O52" s="4">
        <f>ROUND(D52*O41,0)</f>
        <v>24958</v>
      </c>
      <c r="P52" s="4">
        <f>ROUND(D52*P41,0)</f>
        <v>27410</v>
      </c>
      <c r="Q52" s="4">
        <f>ROUND(D52*Q41,0)</f>
        <v>29853</v>
      </c>
      <c r="R52" s="4">
        <f t="shared" si="6"/>
        <v>173</v>
      </c>
      <c r="S52" s="4">
        <f t="shared" si="7"/>
        <v>639</v>
      </c>
      <c r="U52" s="24">
        <v>1175000</v>
      </c>
      <c r="V52" s="25" t="s">
        <v>107</v>
      </c>
      <c r="W52" s="26">
        <v>1210000</v>
      </c>
      <c r="X52" s="27">
        <v>1175000</v>
      </c>
      <c r="Y52" s="28" t="s">
        <v>16</v>
      </c>
      <c r="Z52" s="27">
        <v>1235000</v>
      </c>
      <c r="AA52" s="29" t="s">
        <v>14</v>
      </c>
      <c r="AQ52" s="13"/>
    </row>
    <row r="53" spans="1:43" s="12" customFormat="1">
      <c r="A53" s="1" t="str">
        <f>IF(AND(【更新不要】試算基!B18&gt;=146000,【更新不要】試算基!B18&lt;155000),"●","")</f>
        <v/>
      </c>
      <c r="B53" s="3">
        <v>12</v>
      </c>
      <c r="C53" s="4">
        <v>150000</v>
      </c>
      <c r="D53" s="215">
        <f>ROUNDDOWN(C53*D41/1000,0)</f>
        <v>2685</v>
      </c>
      <c r="E53" s="216"/>
      <c r="F53" s="4">
        <f>ROUND(D53*F41,0)</f>
        <v>2676</v>
      </c>
      <c r="G53" s="4">
        <f>ROUND(D53*G41,0)</f>
        <v>5344</v>
      </c>
      <c r="H53" s="4">
        <f>ROUND(D53*H41,0)</f>
        <v>8003</v>
      </c>
      <c r="I53" s="4">
        <f>ROUND(D53*I41,0)</f>
        <v>10653</v>
      </c>
      <c r="J53" s="4">
        <f>ROUND(D53*J41,0)</f>
        <v>13294</v>
      </c>
      <c r="K53" s="4">
        <f>ROUND(D53*K41,0)</f>
        <v>15927</v>
      </c>
      <c r="L53" s="4">
        <f>ROUND(D53*L41,0)</f>
        <v>18551</v>
      </c>
      <c r="M53" s="4">
        <f>ROUND(D53*M41,0)</f>
        <v>21167</v>
      </c>
      <c r="N53" s="4">
        <f>ROUND(D53*N41,0)</f>
        <v>23774</v>
      </c>
      <c r="O53" s="4">
        <f>ROUND(D53*O41,0)</f>
        <v>26373</v>
      </c>
      <c r="P53" s="4">
        <f>ROUND(D53*P41,0)</f>
        <v>28963</v>
      </c>
      <c r="Q53" s="4">
        <f>ROUND(D53*Q41,0)</f>
        <v>31545</v>
      </c>
      <c r="R53" s="4">
        <f t="shared" si="6"/>
        <v>183</v>
      </c>
      <c r="S53" s="4">
        <f t="shared" si="7"/>
        <v>675</v>
      </c>
      <c r="U53" s="24">
        <v>1235000</v>
      </c>
      <c r="V53" s="25" t="s">
        <v>108</v>
      </c>
      <c r="W53" s="26">
        <v>1270000</v>
      </c>
      <c r="X53" s="27">
        <v>1235000</v>
      </c>
      <c r="Y53" s="28" t="s">
        <v>16</v>
      </c>
      <c r="Z53" s="27">
        <v>1295000</v>
      </c>
      <c r="AA53" s="29" t="s">
        <v>14</v>
      </c>
      <c r="AQ53" s="13"/>
    </row>
    <row r="54" spans="1:43" s="12" customFormat="1">
      <c r="A54" s="1" t="str">
        <f>IF(AND(【更新不要】試算基!B18&gt;=155000,【更新不要】試算基!B18&lt;165000),"●","")</f>
        <v/>
      </c>
      <c r="B54" s="3">
        <v>13</v>
      </c>
      <c r="C54" s="4">
        <v>160000</v>
      </c>
      <c r="D54" s="215">
        <f>ROUNDDOWN(C54*D41/1000,0)</f>
        <v>2864</v>
      </c>
      <c r="E54" s="216"/>
      <c r="F54" s="4">
        <f>ROUND(D54*F41,0)</f>
        <v>2855</v>
      </c>
      <c r="G54" s="4">
        <f>ROUND(D54*G41,0)</f>
        <v>5700</v>
      </c>
      <c r="H54" s="4">
        <f>ROUND(D54*H41,0)</f>
        <v>8536</v>
      </c>
      <c r="I54" s="4">
        <f>ROUND(D54*I41,0)</f>
        <v>11363</v>
      </c>
      <c r="J54" s="4">
        <f>ROUND(D54*J41,0)</f>
        <v>14180</v>
      </c>
      <c r="K54" s="4">
        <f>ROUND(D54*K41,0)</f>
        <v>16989</v>
      </c>
      <c r="L54" s="4">
        <f>ROUND(D54*L41,0)</f>
        <v>19788</v>
      </c>
      <c r="M54" s="4">
        <f>ROUND(D54*M41,0)</f>
        <v>22578</v>
      </c>
      <c r="N54" s="4">
        <f>ROUND(D54*N41,0)</f>
        <v>25359</v>
      </c>
      <c r="O54" s="4">
        <f>ROUND(D54*O41,0)</f>
        <v>28131</v>
      </c>
      <c r="P54" s="4">
        <f>ROUND(D54*P41,0)</f>
        <v>30894</v>
      </c>
      <c r="Q54" s="4">
        <f>ROUND(D54*Q41,0)</f>
        <v>33648</v>
      </c>
      <c r="R54" s="4">
        <f t="shared" si="6"/>
        <v>195</v>
      </c>
      <c r="S54" s="4">
        <f t="shared" si="7"/>
        <v>720</v>
      </c>
      <c r="U54" s="24">
        <v>1295000</v>
      </c>
      <c r="V54" s="25" t="s">
        <v>109</v>
      </c>
      <c r="W54" s="26">
        <v>1330000</v>
      </c>
      <c r="X54" s="27">
        <v>1295000</v>
      </c>
      <c r="Y54" s="28" t="s">
        <v>16</v>
      </c>
      <c r="Z54" s="27">
        <v>1355000</v>
      </c>
      <c r="AA54" s="29" t="s">
        <v>14</v>
      </c>
      <c r="AQ54" s="13"/>
    </row>
    <row r="55" spans="1:43" s="12" customFormat="1">
      <c r="A55" s="1" t="str">
        <f>IF(AND(【更新不要】試算基!B18&gt;=165000,【更新不要】試算基!B18&lt;175000),"●","")</f>
        <v/>
      </c>
      <c r="B55" s="3">
        <v>14</v>
      </c>
      <c r="C55" s="4">
        <v>170000</v>
      </c>
      <c r="D55" s="215">
        <f>ROUNDDOWN(C55*D41/1000,0)</f>
        <v>3043</v>
      </c>
      <c r="E55" s="216"/>
      <c r="F55" s="4">
        <f>ROUND(D55*F41,0)</f>
        <v>3033</v>
      </c>
      <c r="G55" s="4">
        <f>ROUND(D55*G41,0)</f>
        <v>6056</v>
      </c>
      <c r="H55" s="4">
        <f>ROUND(D55*H41,0)</f>
        <v>9070</v>
      </c>
      <c r="I55" s="4">
        <f>ROUND(D55*I41,0)</f>
        <v>12073</v>
      </c>
      <c r="J55" s="4">
        <f>ROUND(D55*J41,0)</f>
        <v>15067</v>
      </c>
      <c r="K55" s="4">
        <f>ROUND(D55*K41,0)</f>
        <v>18051</v>
      </c>
      <c r="L55" s="4">
        <f>ROUND(D55*L41,0)</f>
        <v>21025</v>
      </c>
      <c r="M55" s="4">
        <f>ROUND(D55*M41,0)</f>
        <v>23989</v>
      </c>
      <c r="N55" s="4">
        <f>ROUND(D55*N41,0)</f>
        <v>26944</v>
      </c>
      <c r="O55" s="4">
        <f>ROUND(D55*O41,0)</f>
        <v>29889</v>
      </c>
      <c r="P55" s="4">
        <f>ROUND(D55*P41,0)</f>
        <v>32825</v>
      </c>
      <c r="Q55" s="4">
        <f>ROUND(D55*Q41,0)</f>
        <v>35751</v>
      </c>
      <c r="R55" s="4">
        <f t="shared" si="6"/>
        <v>207</v>
      </c>
      <c r="S55" s="4">
        <f t="shared" si="7"/>
        <v>765</v>
      </c>
      <c r="U55" s="24">
        <v>1355000</v>
      </c>
      <c r="V55" s="25" t="s">
        <v>110</v>
      </c>
      <c r="W55" s="26">
        <v>1390000</v>
      </c>
      <c r="X55" s="27">
        <v>1355000</v>
      </c>
      <c r="Y55" s="28" t="s">
        <v>16</v>
      </c>
      <c r="Z55" s="27"/>
      <c r="AA55" s="19"/>
      <c r="AQ55" s="13"/>
    </row>
    <row r="56" spans="1:43" s="12" customFormat="1" ht="12">
      <c r="A56" s="1" t="str">
        <f>IF(AND(【更新不要】試算基!B18&gt;=175000,【更新不要】試算基!B18&lt;185000),"●","")</f>
        <v/>
      </c>
      <c r="B56" s="3">
        <v>15</v>
      </c>
      <c r="C56" s="4">
        <v>180000</v>
      </c>
      <c r="D56" s="215">
        <f>ROUNDDOWN(C56*D41/1000,0)</f>
        <v>3222</v>
      </c>
      <c r="E56" s="216"/>
      <c r="F56" s="4">
        <f>ROUND(D56*F41,0)</f>
        <v>3211</v>
      </c>
      <c r="G56" s="4">
        <f>ROUND(D56*G41,0)</f>
        <v>6412</v>
      </c>
      <c r="H56" s="4">
        <f>ROUND(D56*H41,0)</f>
        <v>9603</v>
      </c>
      <c r="I56" s="4">
        <f>ROUND(D56*I41,0)</f>
        <v>12783</v>
      </c>
      <c r="J56" s="4">
        <f>ROUND(D56*J41,0)</f>
        <v>15953</v>
      </c>
      <c r="K56" s="4">
        <f>ROUND(D56*K41,0)</f>
        <v>19112</v>
      </c>
      <c r="L56" s="4">
        <f>ROUND(D56*L41,0)</f>
        <v>22262</v>
      </c>
      <c r="M56" s="4">
        <f>ROUND(D56*M41,0)</f>
        <v>25400</v>
      </c>
      <c r="N56" s="4">
        <f>ROUND(D56*N41,0)</f>
        <v>28529</v>
      </c>
      <c r="O56" s="4">
        <f>ROUND(D56*O41,0)</f>
        <v>31647</v>
      </c>
      <c r="P56" s="4">
        <f>ROUND(D56*P41,0)</f>
        <v>34756</v>
      </c>
      <c r="Q56" s="4">
        <f>ROUND(D56*Q41,0)</f>
        <v>37854</v>
      </c>
      <c r="R56" s="4">
        <f t="shared" si="6"/>
        <v>220</v>
      </c>
      <c r="S56" s="4">
        <f t="shared" si="7"/>
        <v>810</v>
      </c>
      <c r="AQ56" s="13"/>
    </row>
    <row r="57" spans="1:43" s="12" customFormat="1" ht="12">
      <c r="A57" s="1" t="str">
        <f>IF(AND(【更新不要】試算基!B18&gt;=185000,【更新不要】試算基!B18&lt;195000),"●","")</f>
        <v/>
      </c>
      <c r="B57" s="3">
        <v>16</v>
      </c>
      <c r="C57" s="4">
        <v>190000</v>
      </c>
      <c r="D57" s="215">
        <f>ROUNDDOWN(C57*D41/1000,0)</f>
        <v>3401</v>
      </c>
      <c r="E57" s="216"/>
      <c r="F57" s="4">
        <f>ROUND(D57*F41,0)</f>
        <v>3390</v>
      </c>
      <c r="G57" s="4">
        <f>ROUND(D57*G41,0)</f>
        <v>6769</v>
      </c>
      <c r="H57" s="4">
        <f>ROUND(D57*H41,0)</f>
        <v>10137</v>
      </c>
      <c r="I57" s="4">
        <f>ROUND(D57*I41,0)</f>
        <v>13493</v>
      </c>
      <c r="J57" s="4">
        <f>ROUND(D57*J41,0)</f>
        <v>16839</v>
      </c>
      <c r="K57" s="4">
        <f>ROUND(D57*K41,0)</f>
        <v>20174</v>
      </c>
      <c r="L57" s="4">
        <f>ROUND(D57*L41,0)</f>
        <v>23498</v>
      </c>
      <c r="M57" s="4">
        <f>ROUND(D57*M41,0)</f>
        <v>26812</v>
      </c>
      <c r="N57" s="4">
        <f>ROUND(D57*N41,0)</f>
        <v>30114</v>
      </c>
      <c r="O57" s="4">
        <f>ROUND(D57*O41,0)</f>
        <v>33406</v>
      </c>
      <c r="P57" s="4">
        <f>ROUND(D57*P41,0)</f>
        <v>36686</v>
      </c>
      <c r="Q57" s="4">
        <f>ROUND(D57*Q41,0)</f>
        <v>39957</v>
      </c>
      <c r="R57" s="4">
        <f t="shared" si="6"/>
        <v>232</v>
      </c>
      <c r="S57" s="4">
        <f t="shared" si="7"/>
        <v>855</v>
      </c>
      <c r="AQ57" s="13"/>
    </row>
    <row r="58" spans="1:43" s="12" customFormat="1" ht="12">
      <c r="A58" s="1" t="str">
        <f>IF(AND(【更新不要】試算基!B18&gt;=195000,【更新不要】試算基!B18&lt;210000),"●","")</f>
        <v/>
      </c>
      <c r="B58" s="3">
        <v>17</v>
      </c>
      <c r="C58" s="4">
        <v>200000</v>
      </c>
      <c r="D58" s="215">
        <f>ROUNDDOWN(C58*D41/1000,0)</f>
        <v>3580</v>
      </c>
      <c r="E58" s="216"/>
      <c r="F58" s="4">
        <f>ROUND(D58*F41,0)</f>
        <v>3568</v>
      </c>
      <c r="G58" s="4">
        <f>ROUND(D58*G41,0)</f>
        <v>7125</v>
      </c>
      <c r="H58" s="4">
        <f>ROUND(D58*H41,0)</f>
        <v>10670</v>
      </c>
      <c r="I58" s="4">
        <f>ROUND(D58*I41,0)</f>
        <v>14204</v>
      </c>
      <c r="J58" s="4">
        <f>ROUND(D58*J41,0)</f>
        <v>17726</v>
      </c>
      <c r="K58" s="4">
        <f>ROUND(D58*K41,0)</f>
        <v>21236</v>
      </c>
      <c r="L58" s="4">
        <f>ROUND(D58*L41,0)</f>
        <v>24735</v>
      </c>
      <c r="M58" s="4">
        <f>ROUND(D58*M41,0)</f>
        <v>28223</v>
      </c>
      <c r="N58" s="4">
        <f>ROUND(D58*N41,0)</f>
        <v>31699</v>
      </c>
      <c r="O58" s="4">
        <f>ROUND(D58*O41,0)</f>
        <v>35164</v>
      </c>
      <c r="P58" s="4">
        <f>ROUND(D58*P41,0)</f>
        <v>38617</v>
      </c>
      <c r="Q58" s="4">
        <f>ROUND(D58*Q41,0)</f>
        <v>42060</v>
      </c>
      <c r="R58" s="4">
        <f t="shared" si="6"/>
        <v>244</v>
      </c>
      <c r="S58" s="4">
        <f t="shared" si="7"/>
        <v>900</v>
      </c>
      <c r="AQ58" s="13"/>
    </row>
    <row r="59" spans="1:43" s="12" customFormat="1" ht="12">
      <c r="A59" s="1" t="str">
        <f>IF(AND(【更新不要】試算基!B18&gt;=210000,【更新不要】試算基!B18&lt;230000),"●","")</f>
        <v/>
      </c>
      <c r="B59" s="3">
        <v>18</v>
      </c>
      <c r="C59" s="4">
        <v>220000</v>
      </c>
      <c r="D59" s="215">
        <f>ROUNDDOWN(C59*D41/1000,0)</f>
        <v>3938</v>
      </c>
      <c r="E59" s="216"/>
      <c r="F59" s="4">
        <f>ROUND(D59*F41,0)</f>
        <v>3925</v>
      </c>
      <c r="G59" s="4">
        <f>ROUND(D59*G41,0)</f>
        <v>7837</v>
      </c>
      <c r="H59" s="4">
        <f>ROUND(D59*H41,0)</f>
        <v>11737</v>
      </c>
      <c r="I59" s="4">
        <f>ROUND(D59*I41,0)</f>
        <v>15624</v>
      </c>
      <c r="J59" s="4">
        <f>ROUND(D59*J41,0)</f>
        <v>19498</v>
      </c>
      <c r="K59" s="4">
        <f>ROUND(D59*K41,0)</f>
        <v>23360</v>
      </c>
      <c r="L59" s="4">
        <f>ROUND(D59*L41,0)</f>
        <v>27209</v>
      </c>
      <c r="M59" s="4">
        <f>ROUND(D59*M41,0)</f>
        <v>31045</v>
      </c>
      <c r="N59" s="4">
        <f>ROUND(D59*N41,0)</f>
        <v>34869</v>
      </c>
      <c r="O59" s="4">
        <f>ROUND(D59*O41,0)</f>
        <v>38680</v>
      </c>
      <c r="P59" s="4">
        <f>ROUND(D59*P41,0)</f>
        <v>42479</v>
      </c>
      <c r="Q59" s="4">
        <f>ROUND(D59*Q41,0)</f>
        <v>46266</v>
      </c>
      <c r="R59" s="4">
        <f t="shared" si="6"/>
        <v>268</v>
      </c>
      <c r="S59" s="4">
        <f t="shared" si="7"/>
        <v>990</v>
      </c>
      <c r="AQ59" s="13"/>
    </row>
    <row r="60" spans="1:43" s="12" customFormat="1" ht="12">
      <c r="A60" s="1" t="str">
        <f>IF(AND(【更新不要】試算基!B18&gt;=230000,【更新不要】試算基!B18&lt;250000),"●","")</f>
        <v/>
      </c>
      <c r="B60" s="3">
        <v>19</v>
      </c>
      <c r="C60" s="4">
        <v>240000</v>
      </c>
      <c r="D60" s="215">
        <f>ROUNDDOWN(C60*D41/1000,0)</f>
        <v>4296</v>
      </c>
      <c r="E60" s="216"/>
      <c r="F60" s="4">
        <f>ROUND(D60*F41,0)</f>
        <v>4282</v>
      </c>
      <c r="G60" s="4">
        <f>ROUND(D60*G41,0)</f>
        <v>8550</v>
      </c>
      <c r="H60" s="4">
        <f>ROUND(D60*H41,0)</f>
        <v>12804</v>
      </c>
      <c r="I60" s="4">
        <f>ROUND(D60*I41,0)</f>
        <v>17044</v>
      </c>
      <c r="J60" s="4">
        <f>ROUND(D60*J41,0)</f>
        <v>21271</v>
      </c>
      <c r="K60" s="4">
        <f>ROUND(D60*K41,0)</f>
        <v>25483</v>
      </c>
      <c r="L60" s="4">
        <f>ROUND(D60*L41,0)</f>
        <v>29682</v>
      </c>
      <c r="M60" s="4">
        <f>ROUND(D60*M41,0)</f>
        <v>33867</v>
      </c>
      <c r="N60" s="4">
        <f>ROUND(D60*N41,0)</f>
        <v>38039</v>
      </c>
      <c r="O60" s="4">
        <f>ROUND(D60*O41,0)</f>
        <v>42197</v>
      </c>
      <c r="P60" s="4">
        <f>ROUND(D60*P41,0)</f>
        <v>46341</v>
      </c>
      <c r="Q60" s="4">
        <f>ROUND(D60*Q41,0)</f>
        <v>50472</v>
      </c>
      <c r="R60" s="4">
        <f t="shared" si="6"/>
        <v>293</v>
      </c>
      <c r="S60" s="4">
        <f t="shared" si="7"/>
        <v>1080</v>
      </c>
      <c r="AQ60" s="13"/>
    </row>
    <row r="61" spans="1:43" s="12" customFormat="1" ht="12">
      <c r="A61" s="1" t="str">
        <f>IF(AND(【更新不要】試算基!B18&gt;=250000,【更新不要】試算基!B18&lt;270000),"●","")</f>
        <v/>
      </c>
      <c r="B61" s="3">
        <v>20</v>
      </c>
      <c r="C61" s="4">
        <v>260000</v>
      </c>
      <c r="D61" s="215">
        <f>ROUNDDOWN(C61*D41/1000,0)</f>
        <v>4654</v>
      </c>
      <c r="E61" s="216"/>
      <c r="F61" s="4">
        <f>ROUND(D61*F41,0)</f>
        <v>4639</v>
      </c>
      <c r="G61" s="4">
        <f>ROUND(D61*G41,0)</f>
        <v>9262</v>
      </c>
      <c r="H61" s="4">
        <f>ROUND(D61*H41,0)</f>
        <v>13871</v>
      </c>
      <c r="I61" s="4">
        <f>ROUND(D61*I41,0)</f>
        <v>18465</v>
      </c>
      <c r="J61" s="4">
        <f>ROUND(D61*J41,0)</f>
        <v>23043</v>
      </c>
      <c r="K61" s="4">
        <f>ROUND(D61*K41,0)</f>
        <v>27607</v>
      </c>
      <c r="L61" s="4">
        <f>ROUND(D61*L41,0)</f>
        <v>32156</v>
      </c>
      <c r="M61" s="4">
        <f>ROUND(D61*M41,0)</f>
        <v>36689</v>
      </c>
      <c r="N61" s="4">
        <f>ROUND(D61*N41,0)</f>
        <v>41209</v>
      </c>
      <c r="O61" s="4">
        <f>ROUND(D61*O41,0)</f>
        <v>45713</v>
      </c>
      <c r="P61" s="4">
        <f>ROUND(D61*P41,0)</f>
        <v>50203</v>
      </c>
      <c r="Q61" s="4">
        <f>ROUND(D61*Q41,0)</f>
        <v>54678</v>
      </c>
      <c r="R61" s="4">
        <f t="shared" si="6"/>
        <v>317</v>
      </c>
      <c r="S61" s="4">
        <f t="shared" si="7"/>
        <v>1170</v>
      </c>
      <c r="AQ61" s="13"/>
    </row>
    <row r="62" spans="1:43" s="12" customFormat="1" ht="12">
      <c r="A62" s="1" t="str">
        <f>IF(AND(【更新不要】試算基!B18&gt;=270000,【更新不要】試算基!B18&lt;290000),"●","")</f>
        <v/>
      </c>
      <c r="B62" s="3">
        <v>21</v>
      </c>
      <c r="C62" s="4">
        <v>280000</v>
      </c>
      <c r="D62" s="215">
        <f>ROUNDDOWN(C62*D41/1000,0)</f>
        <v>5012</v>
      </c>
      <c r="E62" s="216"/>
      <c r="F62" s="4">
        <f>ROUND(D62*F41,0)</f>
        <v>4996</v>
      </c>
      <c r="G62" s="4">
        <f>ROUND(D62*G41,0)</f>
        <v>9975</v>
      </c>
      <c r="H62" s="4">
        <f>ROUND(D62*H41,0)</f>
        <v>14938</v>
      </c>
      <c r="I62" s="4">
        <f>ROUND(D62*I41,0)</f>
        <v>19885</v>
      </c>
      <c r="J62" s="4">
        <f>ROUND(D62*J41,0)</f>
        <v>24816</v>
      </c>
      <c r="K62" s="4">
        <f>ROUND(D62*K41,0)</f>
        <v>29730</v>
      </c>
      <c r="L62" s="4">
        <f>ROUND(D62*L41,0)</f>
        <v>34629</v>
      </c>
      <c r="M62" s="4">
        <f>ROUND(D62*M41,0)</f>
        <v>39512</v>
      </c>
      <c r="N62" s="4">
        <f>ROUND(D62*N41,0)</f>
        <v>44378</v>
      </c>
      <c r="O62" s="4">
        <f>ROUND(D62*O41,0)</f>
        <v>49229</v>
      </c>
      <c r="P62" s="4">
        <f>ROUND(D62*P41,0)</f>
        <v>54064</v>
      </c>
      <c r="Q62" s="4">
        <f>ROUND(D62*Q41,0)</f>
        <v>58883</v>
      </c>
      <c r="R62" s="4">
        <f t="shared" si="6"/>
        <v>342</v>
      </c>
      <c r="S62" s="4">
        <f t="shared" si="7"/>
        <v>1261</v>
      </c>
      <c r="AQ62" s="13"/>
    </row>
    <row r="63" spans="1:43" s="12" customFormat="1" ht="12">
      <c r="A63" s="1" t="str">
        <f>IF(AND(【更新不要】試算基!B18&gt;=290000,【更新不要】試算基!B18&lt;310000),"●","")</f>
        <v/>
      </c>
      <c r="B63" s="3">
        <v>22</v>
      </c>
      <c r="C63" s="4">
        <v>300000</v>
      </c>
      <c r="D63" s="215">
        <f>ROUNDDOWN(C63*D41/1000,0)</f>
        <v>5370</v>
      </c>
      <c r="E63" s="216"/>
      <c r="F63" s="4">
        <f>ROUND(D63*F41,0)</f>
        <v>5352</v>
      </c>
      <c r="G63" s="4">
        <f>ROUND(D63*G41,0)</f>
        <v>10687</v>
      </c>
      <c r="H63" s="4">
        <f>ROUND(D63*H41,0)</f>
        <v>16005</v>
      </c>
      <c r="I63" s="4">
        <f>ROUND(D63*I41,0)</f>
        <v>21305</v>
      </c>
      <c r="J63" s="4">
        <f>ROUND(D63*J41,0)</f>
        <v>26588</v>
      </c>
      <c r="K63" s="4">
        <f>ROUND(D63*K41,0)</f>
        <v>31854</v>
      </c>
      <c r="L63" s="4">
        <f>ROUND(D63*L41,0)</f>
        <v>37103</v>
      </c>
      <c r="M63" s="4">
        <f>ROUND(D63*M41,0)</f>
        <v>42334</v>
      </c>
      <c r="N63" s="4">
        <f>ROUND(D63*N41,0)</f>
        <v>47548</v>
      </c>
      <c r="O63" s="4">
        <f>ROUND(D63*O41,0)</f>
        <v>52746</v>
      </c>
      <c r="P63" s="4">
        <f>ROUND(D63*P41,0)</f>
        <v>57926</v>
      </c>
      <c r="Q63" s="4">
        <f>ROUND(D63*Q41,0)</f>
        <v>63089</v>
      </c>
      <c r="R63" s="4">
        <f t="shared" si="6"/>
        <v>366</v>
      </c>
      <c r="S63" s="4">
        <f t="shared" si="7"/>
        <v>1351</v>
      </c>
      <c r="AQ63" s="13"/>
    </row>
    <row r="64" spans="1:43" s="12" customFormat="1" ht="12">
      <c r="A64" s="1" t="str">
        <f>IF(AND(【更新不要】試算基!B18&gt;=310000,【更新不要】試算基!B18&lt;330000),"●","")</f>
        <v/>
      </c>
      <c r="B64" s="3">
        <v>23</v>
      </c>
      <c r="C64" s="4">
        <v>320000</v>
      </c>
      <c r="D64" s="215">
        <f>ROUNDDOWN(C64*D41/1000,0)</f>
        <v>5728</v>
      </c>
      <c r="E64" s="216"/>
      <c r="F64" s="4">
        <f>ROUND(D64*F41,0)</f>
        <v>5709</v>
      </c>
      <c r="G64" s="4">
        <f>ROUND(D64*G41,0)</f>
        <v>11400</v>
      </c>
      <c r="H64" s="4">
        <f>ROUND(D64*H41,0)</f>
        <v>17072</v>
      </c>
      <c r="I64" s="4">
        <f>ROUND(D64*I41,0)</f>
        <v>22726</v>
      </c>
      <c r="J64" s="4">
        <f>ROUND(D64*J41,0)</f>
        <v>28361</v>
      </c>
      <c r="K64" s="4">
        <f>ROUND(D64*K41,0)</f>
        <v>33978</v>
      </c>
      <c r="L64" s="4">
        <f>ROUND(D64*L41,0)</f>
        <v>39576</v>
      </c>
      <c r="M64" s="4">
        <f>ROUND(D64*M41,0)</f>
        <v>45156</v>
      </c>
      <c r="N64" s="4">
        <f>ROUND(D64*N41,0)</f>
        <v>50718</v>
      </c>
      <c r="O64" s="4">
        <f>ROUND(D64*O41,0)</f>
        <v>56262</v>
      </c>
      <c r="P64" s="4">
        <f>ROUND(D64*P41,0)</f>
        <v>61788</v>
      </c>
      <c r="Q64" s="4">
        <f>ROUND(D64*Q41,0)</f>
        <v>67295</v>
      </c>
      <c r="R64" s="4">
        <f t="shared" si="6"/>
        <v>390</v>
      </c>
      <c r="S64" s="4">
        <f t="shared" si="7"/>
        <v>1441</v>
      </c>
      <c r="AQ64" s="13"/>
    </row>
    <row r="65" spans="1:43" s="12" customFormat="1" ht="12">
      <c r="A65" s="1" t="str">
        <f>IF(AND(【更新不要】試算基!B18&gt;=330000,【更新不要】試算基!B18&lt;350000),"●","")</f>
        <v>●</v>
      </c>
      <c r="B65" s="3">
        <v>24</v>
      </c>
      <c r="C65" s="4">
        <v>340000</v>
      </c>
      <c r="D65" s="219">
        <f>ROUNDDOWN(C65*D41/1000,0)</f>
        <v>6086</v>
      </c>
      <c r="E65" s="220"/>
      <c r="F65" s="4">
        <f>ROUND(D65*F41,0)</f>
        <v>6066</v>
      </c>
      <c r="G65" s="4">
        <f>ROUND(D65*G41,0)</f>
        <v>12112</v>
      </c>
      <c r="H65" s="4">
        <f>ROUND(D65*H41,0)</f>
        <v>18139</v>
      </c>
      <c r="I65" s="4">
        <f>ROUND(D65*I41,0)</f>
        <v>24146</v>
      </c>
      <c r="J65" s="4">
        <f>ROUND(D65*J41,0)</f>
        <v>30133</v>
      </c>
      <c r="K65" s="58">
        <f>ROUND(D65*K41,0)</f>
        <v>36101</v>
      </c>
      <c r="L65" s="4">
        <f>ROUND(D65*L41,0)</f>
        <v>42050</v>
      </c>
      <c r="M65" s="4">
        <f>ROUND(D65*M41,0)</f>
        <v>47978</v>
      </c>
      <c r="N65" s="4">
        <f>ROUND(D65*N41,0)</f>
        <v>53888</v>
      </c>
      <c r="O65" s="4">
        <f>ROUND(D65*O41,0)</f>
        <v>59778</v>
      </c>
      <c r="P65" s="4">
        <f>ROUND(D65*P41,0)</f>
        <v>65649</v>
      </c>
      <c r="Q65" s="58">
        <f>ROUND(D65*Q41,0)</f>
        <v>71501</v>
      </c>
      <c r="R65" s="4">
        <f t="shared" si="6"/>
        <v>415</v>
      </c>
      <c r="S65" s="4">
        <f t="shared" si="7"/>
        <v>1531</v>
      </c>
      <c r="AQ65" s="13"/>
    </row>
    <row r="66" spans="1:43" s="12" customFormat="1" ht="12">
      <c r="A66" s="1" t="str">
        <f>IF(AND(【更新不要】試算基!B18&gt;=350000,【更新不要】試算基!B18&lt;370000),"●","")</f>
        <v/>
      </c>
      <c r="B66" s="56">
        <v>25</v>
      </c>
      <c r="C66" s="57">
        <v>360000</v>
      </c>
      <c r="D66" s="221">
        <f>ROUNDDOWN(C66*D41/1000,0)</f>
        <v>6444</v>
      </c>
      <c r="E66" s="222"/>
      <c r="F66" s="57">
        <f>ROUND(D66*F41,0)</f>
        <v>6423</v>
      </c>
      <c r="G66" s="57">
        <f>ROUND(D66*G41,0)</f>
        <v>12825</v>
      </c>
      <c r="H66" s="57">
        <f>ROUND(D66*H41,0)</f>
        <v>19206</v>
      </c>
      <c r="I66" s="57">
        <f>ROUND(D66*I41,0)</f>
        <v>25566</v>
      </c>
      <c r="J66" s="57">
        <f>ROUND(D66*J41,0)</f>
        <v>31906</v>
      </c>
      <c r="K66" s="57">
        <f>ROUND(D66*K41,0)</f>
        <v>38225</v>
      </c>
      <c r="L66" s="57">
        <f>ROUND(D66*L41,0)</f>
        <v>44523</v>
      </c>
      <c r="M66" s="57">
        <f>ROUND(D66*M41,0)</f>
        <v>50801</v>
      </c>
      <c r="N66" s="57">
        <f>ROUND(D66*N41,0)</f>
        <v>57058</v>
      </c>
      <c r="O66" s="57">
        <f>ROUND(D66*O41,0)</f>
        <v>63295</v>
      </c>
      <c r="P66" s="57">
        <f>ROUND(D66*P41,0)</f>
        <v>69511</v>
      </c>
      <c r="Q66" s="57">
        <f>ROUND(D66*Q41,0)</f>
        <v>75707</v>
      </c>
      <c r="R66" s="57">
        <f t="shared" si="6"/>
        <v>439</v>
      </c>
      <c r="S66" s="57">
        <f t="shared" si="7"/>
        <v>1621</v>
      </c>
      <c r="AQ66" s="13"/>
    </row>
    <row r="67" spans="1:43" s="12" customFormat="1" ht="12">
      <c r="A67" s="1" t="str">
        <f>IF(AND(【更新不要】試算基!B18&gt;=370000,【更新不要】試算基!B18&lt;395000),"●","")</f>
        <v/>
      </c>
      <c r="B67" s="56">
        <v>26</v>
      </c>
      <c r="C67" s="57">
        <v>380000</v>
      </c>
      <c r="D67" s="221">
        <f>ROUNDDOWN(C67*D41/1000,0)</f>
        <v>6802</v>
      </c>
      <c r="E67" s="222"/>
      <c r="F67" s="57">
        <f>ROUND(D67*F41,0)</f>
        <v>6780</v>
      </c>
      <c r="G67" s="57">
        <f>ROUND(D67*G41,0)</f>
        <v>13537</v>
      </c>
      <c r="H67" s="57">
        <f>ROUND(D67*H41,0)</f>
        <v>20273</v>
      </c>
      <c r="I67" s="57">
        <f>ROUND(D67*I41,0)</f>
        <v>26987</v>
      </c>
      <c r="J67" s="57">
        <f>ROUND(D67*J41,0)</f>
        <v>33679</v>
      </c>
      <c r="K67" s="57">
        <f>ROUND(D67*K41,0)</f>
        <v>40348</v>
      </c>
      <c r="L67" s="57">
        <f>ROUND(D67*L41,0)</f>
        <v>46997</v>
      </c>
      <c r="M67" s="57">
        <f>ROUND(D67*M41,0)</f>
        <v>53623</v>
      </c>
      <c r="N67" s="57">
        <f>ROUND(D67*N41,0)</f>
        <v>60228</v>
      </c>
      <c r="O67" s="57">
        <f>ROUND(D67*O41,0)</f>
        <v>66811</v>
      </c>
      <c r="P67" s="57">
        <f>ROUND(D67*P41,0)</f>
        <v>73373</v>
      </c>
      <c r="Q67" s="57">
        <f>ROUND(D67*Q41,0)</f>
        <v>79913</v>
      </c>
      <c r="R67" s="57">
        <f t="shared" si="6"/>
        <v>464</v>
      </c>
      <c r="S67" s="57">
        <f t="shared" si="7"/>
        <v>1711</v>
      </c>
      <c r="AQ67" s="13"/>
    </row>
    <row r="68" spans="1:43" s="12" customFormat="1" ht="12">
      <c r="A68" s="1" t="str">
        <f>IF(AND(【更新不要】試算基!B18&gt;=395000,【更新不要】試算基!B18&lt;425000),"●","")</f>
        <v/>
      </c>
      <c r="B68" s="56">
        <v>27</v>
      </c>
      <c r="C68" s="57">
        <v>410000</v>
      </c>
      <c r="D68" s="221">
        <f>ROUNDDOWN(C68*D41/1000,0)</f>
        <v>7339</v>
      </c>
      <c r="E68" s="222"/>
      <c r="F68" s="57">
        <f>ROUND(D68*F41,0)</f>
        <v>7315</v>
      </c>
      <c r="G68" s="57">
        <f>ROUND(D68*G41,0)</f>
        <v>14606</v>
      </c>
      <c r="H68" s="57">
        <f>ROUND(D68*H41,0)</f>
        <v>21874</v>
      </c>
      <c r="I68" s="57">
        <f>ROUND(D68*I41,0)</f>
        <v>29117</v>
      </c>
      <c r="J68" s="57">
        <f>ROUND(D68*J41,0)</f>
        <v>36337</v>
      </c>
      <c r="K68" s="57">
        <f>ROUND(D68*K41,0)</f>
        <v>43534</v>
      </c>
      <c r="L68" s="57">
        <f>ROUND(D68*L41,0)</f>
        <v>50707</v>
      </c>
      <c r="M68" s="57">
        <f>ROUND(D68*M41,0)</f>
        <v>57856</v>
      </c>
      <c r="N68" s="57">
        <f>ROUND(D68*N41,0)</f>
        <v>64983</v>
      </c>
      <c r="O68" s="57">
        <f>ROUND(D68*O41,0)</f>
        <v>72086</v>
      </c>
      <c r="P68" s="57">
        <f>ROUND(D68*P41,0)</f>
        <v>79166</v>
      </c>
      <c r="Q68" s="57">
        <f>ROUND(D68*Q41,0)</f>
        <v>86222</v>
      </c>
      <c r="R68" s="57">
        <f t="shared" si="6"/>
        <v>500</v>
      </c>
      <c r="S68" s="57">
        <f t="shared" si="7"/>
        <v>1846</v>
      </c>
      <c r="AQ68" s="13"/>
    </row>
    <row r="69" spans="1:43" s="12" customFormat="1" ht="12">
      <c r="A69" s="1"/>
      <c r="B69" s="56">
        <v>28</v>
      </c>
      <c r="C69" s="57">
        <v>440000</v>
      </c>
      <c r="D69" s="217">
        <f>ROUNDDOWN(C69*D41/1000,0)</f>
        <v>7876</v>
      </c>
      <c r="E69" s="218"/>
      <c r="F69" s="57">
        <f>ROUND(D69*F41,0)</f>
        <v>7850</v>
      </c>
      <c r="G69" s="57">
        <f>ROUND(D69*G41,0)</f>
        <v>15675</v>
      </c>
      <c r="H69" s="57">
        <f>ROUND(D69*H41,0)</f>
        <v>23474</v>
      </c>
      <c r="I69" s="57">
        <f>ROUND(D69*I41,0)</f>
        <v>31248</v>
      </c>
      <c r="J69" s="57">
        <f>ROUND(D69*J41,0)</f>
        <v>38996</v>
      </c>
      <c r="K69" s="57">
        <f>ROUND(D69*K41,0)</f>
        <v>46719</v>
      </c>
      <c r="L69" s="57">
        <f>ROUND(D69*L41,0)</f>
        <v>54417</v>
      </c>
      <c r="M69" s="57">
        <f>ROUND(D69*M41,0)</f>
        <v>62090</v>
      </c>
      <c r="N69" s="57">
        <f>ROUND(D69*N41,0)</f>
        <v>69738</v>
      </c>
      <c r="O69" s="57">
        <f>ROUND(D69*O41,0)</f>
        <v>77360</v>
      </c>
      <c r="P69" s="57">
        <f>ROUND(D69*P41,0)</f>
        <v>84958</v>
      </c>
      <c r="Q69" s="57">
        <f>ROUND(D69*Q41,0)</f>
        <v>92531</v>
      </c>
      <c r="R69" s="61"/>
      <c r="S69" s="61"/>
      <c r="AQ69" s="13"/>
    </row>
    <row r="70" spans="1:43" s="12" customFormat="1" ht="12">
      <c r="A70" s="1"/>
      <c r="B70" s="56">
        <v>29</v>
      </c>
      <c r="C70" s="57">
        <v>470000</v>
      </c>
      <c r="D70" s="217">
        <f>ROUNDDOWN(C70*D41/1000,0)</f>
        <v>8413</v>
      </c>
      <c r="E70" s="218"/>
      <c r="F70" s="57">
        <f>ROUND(D70*F41,0)</f>
        <v>8386</v>
      </c>
      <c r="G70" s="57">
        <f>ROUND(D70*G41,0)</f>
        <v>16744</v>
      </c>
      <c r="H70" s="57">
        <f>ROUND(D70*H41,0)</f>
        <v>25075</v>
      </c>
      <c r="I70" s="57">
        <f>ROUND(D70*I41,0)</f>
        <v>33378</v>
      </c>
      <c r="J70" s="57">
        <f>ROUND(D70*J41,0)</f>
        <v>41655</v>
      </c>
      <c r="K70" s="57">
        <f>ROUND(D70*K41,0)</f>
        <v>49905</v>
      </c>
      <c r="L70" s="57">
        <f>ROUND(D70*L41,0)</f>
        <v>58127</v>
      </c>
      <c r="M70" s="57">
        <f>ROUND(D70*M41,0)</f>
        <v>66323</v>
      </c>
      <c r="N70" s="57">
        <f>ROUND(D70*N41,0)</f>
        <v>74492</v>
      </c>
      <c r="O70" s="57">
        <f>ROUND(D70*O41,0)</f>
        <v>82635</v>
      </c>
      <c r="P70" s="57">
        <f>ROUND(D70*P41,0)</f>
        <v>90751</v>
      </c>
      <c r="Q70" s="57">
        <f>ROUND(D70*Q41,0)</f>
        <v>98840</v>
      </c>
      <c r="R70" s="61"/>
      <c r="S70" s="61"/>
      <c r="AQ70" s="13"/>
    </row>
    <row r="71" spans="1:43" s="12" customFormat="1" ht="10.8">
      <c r="B71" s="12" t="s">
        <v>54</v>
      </c>
      <c r="R71" s="2"/>
      <c r="S71" s="2"/>
      <c r="AQ71" s="13"/>
    </row>
    <row r="72" spans="1:43" s="12" customFormat="1" ht="10.8">
      <c r="B72" s="12" t="s">
        <v>53</v>
      </c>
      <c r="R72" s="2"/>
      <c r="S72" s="2"/>
      <c r="AQ72" s="13"/>
    </row>
    <row r="73" spans="1:43" s="12" customFormat="1" ht="11.25" customHeight="1">
      <c r="B73" s="33" t="s">
        <v>52</v>
      </c>
      <c r="R73" s="2"/>
      <c r="S73" s="2"/>
      <c r="AQ73" s="13"/>
    </row>
  </sheetData>
  <mergeCells count="67">
    <mergeCell ref="U4:AA4"/>
    <mergeCell ref="D14:E14"/>
    <mergeCell ref="E1:G1"/>
    <mergeCell ref="A2:A3"/>
    <mergeCell ref="D2:E2"/>
    <mergeCell ref="F2:Q2"/>
    <mergeCell ref="D9:E9"/>
    <mergeCell ref="D10:E10"/>
    <mergeCell ref="X5:AA5"/>
    <mergeCell ref="D11:E11"/>
    <mergeCell ref="D12:E12"/>
    <mergeCell ref="D13:E13"/>
    <mergeCell ref="D5:E5"/>
    <mergeCell ref="D6:E6"/>
    <mergeCell ref="D7:E7"/>
    <mergeCell ref="D8:E8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47:E47"/>
    <mergeCell ref="D27:E27"/>
    <mergeCell ref="D28:E28"/>
    <mergeCell ref="D29:E29"/>
    <mergeCell ref="D30:E30"/>
    <mergeCell ref="D31:E31"/>
    <mergeCell ref="D32:E32"/>
    <mergeCell ref="D33:E33"/>
    <mergeCell ref="D42:E42"/>
    <mergeCell ref="D43:E43"/>
    <mergeCell ref="D44:E44"/>
    <mergeCell ref="D45:E45"/>
    <mergeCell ref="A39:A40"/>
    <mergeCell ref="D39:E39"/>
    <mergeCell ref="F39:Q39"/>
    <mergeCell ref="D46:E46"/>
    <mergeCell ref="D59:E59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60:E60"/>
    <mergeCell ref="D61:E61"/>
    <mergeCell ref="D62:E62"/>
    <mergeCell ref="D63:E63"/>
    <mergeCell ref="D70:E70"/>
    <mergeCell ref="D64:E64"/>
    <mergeCell ref="D65:E65"/>
    <mergeCell ref="D66:E66"/>
    <mergeCell ref="D67:E67"/>
    <mergeCell ref="D68:E68"/>
    <mergeCell ref="D69:E69"/>
  </mergeCells>
  <phoneticPr fontId="2"/>
  <pageMargins left="0.7" right="0.7" top="0.75" bottom="0.75" header="0.3" footer="0.3"/>
  <pageSetup paperSize="9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0"/>
  <sheetViews>
    <sheetView zoomScaleNormal="100" workbookViewId="0">
      <selection activeCell="S8" sqref="S8"/>
    </sheetView>
  </sheetViews>
  <sheetFormatPr defaultColWidth="9" defaultRowHeight="10.8"/>
  <cols>
    <col min="1" max="1" width="9" style="66"/>
    <col min="2" max="2" width="6.21875" style="66" bestFit="1" customWidth="1"/>
    <col min="3" max="17" width="7.44140625" style="66" customWidth="1"/>
    <col min="18" max="16384" width="9" style="66"/>
  </cols>
  <sheetData>
    <row r="1" spans="1:17" ht="29.25" customHeight="1">
      <c r="A1" s="99" t="s">
        <v>134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11.4" thickBot="1">
      <c r="C2" s="68" t="s">
        <v>133</v>
      </c>
      <c r="D2" s="68" t="s">
        <v>132</v>
      </c>
      <c r="E2" s="68"/>
      <c r="F2" s="68"/>
      <c r="G2" s="68"/>
    </row>
    <row r="3" spans="1:17" ht="15" customHeight="1">
      <c r="A3" s="239" t="s">
        <v>128</v>
      </c>
      <c r="B3" s="237" t="s">
        <v>129</v>
      </c>
      <c r="C3" s="235" t="s">
        <v>130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70" t="s">
        <v>75</v>
      </c>
      <c r="Q3" s="71"/>
    </row>
    <row r="4" spans="1:17" ht="15" customHeight="1" thickBot="1">
      <c r="A4" s="240"/>
      <c r="B4" s="238"/>
      <c r="C4" s="85">
        <v>0</v>
      </c>
      <c r="D4" s="82">
        <f>【更新要】掛金早見表!F3</f>
        <v>1</v>
      </c>
      <c r="E4" s="82">
        <f>【更新要】掛金早見表!G3</f>
        <v>2</v>
      </c>
      <c r="F4" s="82">
        <f>【更新要】掛金早見表!H3</f>
        <v>3</v>
      </c>
      <c r="G4" s="82">
        <f>【更新要】掛金早見表!I3</f>
        <v>4</v>
      </c>
      <c r="H4" s="82">
        <f>【更新要】掛金早見表!J3</f>
        <v>5</v>
      </c>
      <c r="I4" s="82">
        <f>【更新要】掛金早見表!K3</f>
        <v>6</v>
      </c>
      <c r="J4" s="82">
        <f>【更新要】掛金早見表!L3</f>
        <v>7</v>
      </c>
      <c r="K4" s="82">
        <f>【更新要】掛金早見表!M3</f>
        <v>8</v>
      </c>
      <c r="L4" s="82">
        <f>【更新要】掛金早見表!N3</f>
        <v>9</v>
      </c>
      <c r="M4" s="82">
        <f>【更新要】掛金早見表!O3</f>
        <v>10</v>
      </c>
      <c r="N4" s="82">
        <f>【更新要】掛金早見表!P3</f>
        <v>11</v>
      </c>
      <c r="O4" s="82">
        <f>【更新要】掛金早見表!Q3</f>
        <v>12</v>
      </c>
      <c r="P4" s="83" t="s">
        <v>47</v>
      </c>
      <c r="Q4" s="84" t="s">
        <v>48</v>
      </c>
    </row>
    <row r="5" spans="1:17" ht="18.75" customHeight="1" thickTop="1">
      <c r="A5" s="78">
        <f>【更新要】掛金早見表!B5</f>
        <v>1</v>
      </c>
      <c r="B5" s="89">
        <f>【更新要】掛金早見表!C5</f>
        <v>58000</v>
      </c>
      <c r="C5" s="86">
        <f>【更新要】掛金早見表!D5</f>
        <v>5370</v>
      </c>
      <c r="D5" s="79">
        <f>【更新要】掛金早見表!F5</f>
        <v>5352</v>
      </c>
      <c r="E5" s="79">
        <f>【更新要】掛金早見表!G5</f>
        <v>10687</v>
      </c>
      <c r="F5" s="79">
        <f>【更新要】掛金早見表!H5</f>
        <v>16005</v>
      </c>
      <c r="G5" s="79">
        <f>【更新要】掛金早見表!I5</f>
        <v>21305</v>
      </c>
      <c r="H5" s="79">
        <f>【更新要】掛金早見表!J5</f>
        <v>26588</v>
      </c>
      <c r="I5" s="79">
        <f>【更新要】掛金早見表!K5</f>
        <v>31854</v>
      </c>
      <c r="J5" s="79">
        <f>【更新要】掛金早見表!L5</f>
        <v>37103</v>
      </c>
      <c r="K5" s="79">
        <f>【更新要】掛金早見表!M5</f>
        <v>42334</v>
      </c>
      <c r="L5" s="79">
        <f>【更新要】掛金早見表!N5</f>
        <v>47548</v>
      </c>
      <c r="M5" s="79">
        <f>【更新要】掛金早見表!O5</f>
        <v>52746</v>
      </c>
      <c r="N5" s="79">
        <f>【更新要】掛金早見表!P5</f>
        <v>57926</v>
      </c>
      <c r="O5" s="79">
        <f>【更新要】掛金早見表!Q5</f>
        <v>63089</v>
      </c>
      <c r="P5" s="80">
        <f>C5*6-I5</f>
        <v>366</v>
      </c>
      <c r="Q5" s="81">
        <f>C5*12-O5</f>
        <v>1351</v>
      </c>
    </row>
    <row r="6" spans="1:17" ht="18.75" customHeight="1">
      <c r="A6" s="72">
        <f>【更新要】掛金早見表!B6</f>
        <v>2</v>
      </c>
      <c r="B6" s="90">
        <f>【更新要】掛金早見表!C6</f>
        <v>68000</v>
      </c>
      <c r="C6" s="87">
        <f>【更新要】掛金早見表!D6</f>
        <v>6296</v>
      </c>
      <c r="D6" s="67">
        <f>【更新要】掛金早見表!F6</f>
        <v>6275</v>
      </c>
      <c r="E6" s="67">
        <f>【更新要】掛金早見表!G6</f>
        <v>12530</v>
      </c>
      <c r="F6" s="67">
        <f>【更新要】掛金早見表!H6</f>
        <v>18765</v>
      </c>
      <c r="G6" s="67">
        <f>【更新要】掛金早見表!I6</f>
        <v>24979</v>
      </c>
      <c r="H6" s="67">
        <f>【更新要】掛金早見表!J6</f>
        <v>31173</v>
      </c>
      <c r="I6" s="67">
        <f>【更新要】掛金早見表!K6</f>
        <v>37347</v>
      </c>
      <c r="J6" s="67">
        <f>【更新要】掛金早見表!L6</f>
        <v>43500</v>
      </c>
      <c r="K6" s="67">
        <f>【更新要】掛金早見表!M6</f>
        <v>49634</v>
      </c>
      <c r="L6" s="67">
        <f>【更新要】掛金早見表!N6</f>
        <v>55748</v>
      </c>
      <c r="M6" s="67">
        <f>【更新要】掛金早見表!O6</f>
        <v>61841</v>
      </c>
      <c r="N6" s="67">
        <f>【更新要】掛金早見表!P6</f>
        <v>67915</v>
      </c>
      <c r="O6" s="67">
        <f>【更新要】掛金早見表!Q6</f>
        <v>73969</v>
      </c>
      <c r="P6" s="69">
        <f t="shared" ref="P6:P30" si="0">C6*6-I6</f>
        <v>429</v>
      </c>
      <c r="Q6" s="73">
        <f t="shared" ref="Q6:Q30" si="1">C6*12-O6</f>
        <v>1583</v>
      </c>
    </row>
    <row r="7" spans="1:17" ht="18.75" customHeight="1">
      <c r="A7" s="72">
        <f>【更新要】掛金早見表!B7</f>
        <v>3</v>
      </c>
      <c r="B7" s="90">
        <f>【更新要】掛金早見表!C7</f>
        <v>78000</v>
      </c>
      <c r="C7" s="87">
        <f>【更新要】掛金早見表!D7</f>
        <v>7222</v>
      </c>
      <c r="D7" s="67">
        <f>【更新要】掛金早見表!F7</f>
        <v>7198</v>
      </c>
      <c r="E7" s="67">
        <f>【更新要】掛金早見表!G7</f>
        <v>14373</v>
      </c>
      <c r="F7" s="67">
        <f>【更新要】掛金早見表!H7</f>
        <v>21525</v>
      </c>
      <c r="G7" s="67">
        <f>【更新要】掛金早見表!I7</f>
        <v>28653</v>
      </c>
      <c r="H7" s="67">
        <f>【更新要】掛金早見表!J7</f>
        <v>35758</v>
      </c>
      <c r="I7" s="67">
        <f>【更新要】掛金早見表!K7</f>
        <v>42840</v>
      </c>
      <c r="J7" s="67">
        <f>【更新要】掛金早見表!L7</f>
        <v>49898</v>
      </c>
      <c r="K7" s="67">
        <f>【更新要】掛金早見表!M7</f>
        <v>56934</v>
      </c>
      <c r="L7" s="67">
        <f>【更新要】掛金早見表!N7</f>
        <v>63947</v>
      </c>
      <c r="M7" s="67">
        <f>【更新要】掛金早見表!O7</f>
        <v>70936</v>
      </c>
      <c r="N7" s="67">
        <f>【更新要】掛金早見表!P7</f>
        <v>77903</v>
      </c>
      <c r="O7" s="67">
        <f>【更新要】掛金早見表!Q7</f>
        <v>84848</v>
      </c>
      <c r="P7" s="69">
        <f t="shared" si="0"/>
        <v>492</v>
      </c>
      <c r="Q7" s="73">
        <f t="shared" si="1"/>
        <v>1816</v>
      </c>
    </row>
    <row r="8" spans="1:17" ht="18.75" customHeight="1">
      <c r="A8" s="72">
        <f>【更新要】掛金早見表!B8</f>
        <v>4</v>
      </c>
      <c r="B8" s="90">
        <f>【更新要】掛金早見表!C8</f>
        <v>88000</v>
      </c>
      <c r="C8" s="87">
        <f>【更新要】掛金早見表!D8</f>
        <v>8148</v>
      </c>
      <c r="D8" s="67">
        <f>【更新要】掛金早見表!F8</f>
        <v>8121</v>
      </c>
      <c r="E8" s="67">
        <f>【更新要】掛金早見表!G8</f>
        <v>16216</v>
      </c>
      <c r="F8" s="67">
        <f>【更新要】掛金早見表!H8</f>
        <v>24285</v>
      </c>
      <c r="G8" s="67">
        <f>【更新要】掛金早見表!I8</f>
        <v>32327</v>
      </c>
      <c r="H8" s="67">
        <f>【更新要】掛金早見表!J8</f>
        <v>40343</v>
      </c>
      <c r="I8" s="67">
        <f>【更新要】掛金早見表!K8</f>
        <v>48333</v>
      </c>
      <c r="J8" s="67">
        <f>【更新要】掛金早見表!L8</f>
        <v>56296</v>
      </c>
      <c r="K8" s="67">
        <f>【更新要】掛金早見表!M8</f>
        <v>64234</v>
      </c>
      <c r="L8" s="67">
        <f>【更新要】掛金早見表!N8</f>
        <v>72146</v>
      </c>
      <c r="M8" s="67">
        <f>【更新要】掛金早見表!O8</f>
        <v>80032</v>
      </c>
      <c r="N8" s="67">
        <f>【更新要】掛金早見表!P8</f>
        <v>87892</v>
      </c>
      <c r="O8" s="67">
        <f>【更新要】掛金早見表!Q8</f>
        <v>95727</v>
      </c>
      <c r="P8" s="69">
        <f t="shared" si="0"/>
        <v>555</v>
      </c>
      <c r="Q8" s="73">
        <f t="shared" si="1"/>
        <v>2049</v>
      </c>
    </row>
    <row r="9" spans="1:17" ht="18.75" customHeight="1">
      <c r="A9" s="72">
        <f>【更新要】掛金早見表!B9</f>
        <v>5</v>
      </c>
      <c r="B9" s="90">
        <f>【更新要】掛金早見表!C9</f>
        <v>98000</v>
      </c>
      <c r="C9" s="87">
        <f>【更新要】掛金早見表!D9</f>
        <v>9074</v>
      </c>
      <c r="D9" s="67">
        <f>【更新要】掛金早見表!F9</f>
        <v>9044</v>
      </c>
      <c r="E9" s="67">
        <f>【更新要】掛金早見表!G9</f>
        <v>18059</v>
      </c>
      <c r="F9" s="67">
        <f>【更新要】掛金早見表!H9</f>
        <v>27045</v>
      </c>
      <c r="G9" s="67">
        <f>【更新要】掛金早見表!I9</f>
        <v>36001</v>
      </c>
      <c r="H9" s="67">
        <f>【更新要】掛金早見表!J9</f>
        <v>44928</v>
      </c>
      <c r="I9" s="67">
        <f>【更新要】掛金早見表!K9</f>
        <v>53826</v>
      </c>
      <c r="J9" s="67">
        <f>【更新要】掛金早見表!L9</f>
        <v>62694</v>
      </c>
      <c r="K9" s="67">
        <f>【更新要】掛金早見表!M9</f>
        <v>71534</v>
      </c>
      <c r="L9" s="67">
        <f>【更新要】掛金早見表!N9</f>
        <v>80345</v>
      </c>
      <c r="M9" s="67">
        <f>【更新要】掛金早見表!O9</f>
        <v>89127</v>
      </c>
      <c r="N9" s="67">
        <f>【更新要】掛金早見表!P9</f>
        <v>97881</v>
      </c>
      <c r="O9" s="67">
        <f>【更新要】掛金早見表!Q9</f>
        <v>106606</v>
      </c>
      <c r="P9" s="69">
        <f t="shared" si="0"/>
        <v>618</v>
      </c>
      <c r="Q9" s="73">
        <f t="shared" si="1"/>
        <v>2282</v>
      </c>
    </row>
    <row r="10" spans="1:17" ht="18.75" customHeight="1">
      <c r="A10" s="72">
        <f>【更新要】掛金早見表!B10</f>
        <v>6</v>
      </c>
      <c r="B10" s="90">
        <f>【更新要】掛金早見表!C10</f>
        <v>104000</v>
      </c>
      <c r="C10" s="87">
        <f>【更新要】掛金早見表!D10</f>
        <v>9630</v>
      </c>
      <c r="D10" s="67">
        <f>【更新要】掛金早見表!F10</f>
        <v>9599</v>
      </c>
      <c r="E10" s="67">
        <f>【更新要】掛金早見表!G10</f>
        <v>19166</v>
      </c>
      <c r="F10" s="67">
        <f>【更新要】掛金早見表!H10</f>
        <v>28702</v>
      </c>
      <c r="G10" s="67">
        <f>【更新要】掛金早見表!I10</f>
        <v>38207</v>
      </c>
      <c r="H10" s="67">
        <f>【更新要】掛金早見表!J10</f>
        <v>47681</v>
      </c>
      <c r="I10" s="67">
        <f>【更新要】掛金早見表!K10</f>
        <v>57124</v>
      </c>
      <c r="J10" s="67">
        <f>【更新要】掛金早見表!L10</f>
        <v>66536</v>
      </c>
      <c r="K10" s="67">
        <f>【更新要】掛金早見表!M10</f>
        <v>75917</v>
      </c>
      <c r="L10" s="67">
        <f>【更新要】掛金早見表!N10</f>
        <v>85268</v>
      </c>
      <c r="M10" s="67">
        <f>【更新要】掛金早見表!O10</f>
        <v>94589</v>
      </c>
      <c r="N10" s="67">
        <f>【更新要】掛金早見表!P10</f>
        <v>103878</v>
      </c>
      <c r="O10" s="67">
        <f>【更新要】掛金早見表!Q10</f>
        <v>113138</v>
      </c>
      <c r="P10" s="69">
        <f t="shared" si="0"/>
        <v>656</v>
      </c>
      <c r="Q10" s="73">
        <f t="shared" si="1"/>
        <v>2422</v>
      </c>
    </row>
    <row r="11" spans="1:17" ht="18.75" customHeight="1">
      <c r="A11" s="72">
        <f>【更新要】掛金早見表!B11</f>
        <v>7</v>
      </c>
      <c r="B11" s="90">
        <f>【更新要】掛金早見表!C11</f>
        <v>110000</v>
      </c>
      <c r="C11" s="87">
        <f>【更新要】掛金早見表!D11</f>
        <v>10186</v>
      </c>
      <c r="D11" s="67">
        <f>【更新要】掛金早見表!F11</f>
        <v>10153</v>
      </c>
      <c r="E11" s="67">
        <f>【更新要】掛金早見表!G11</f>
        <v>20272</v>
      </c>
      <c r="F11" s="67">
        <f>【更新要】掛金早見表!H11</f>
        <v>30359</v>
      </c>
      <c r="G11" s="67">
        <f>【更新要】掛金早見表!I11</f>
        <v>40413</v>
      </c>
      <c r="H11" s="67">
        <f>【更新要】掛金早見表!J11</f>
        <v>50434</v>
      </c>
      <c r="I11" s="67">
        <f>【更新要】掛金早見表!K11</f>
        <v>60422</v>
      </c>
      <c r="J11" s="67">
        <f>【更新要】掛金早見表!L11</f>
        <v>70377</v>
      </c>
      <c r="K11" s="67">
        <f>【更新要】掛金早見表!M11</f>
        <v>80301</v>
      </c>
      <c r="L11" s="67">
        <f>【更新要】掛金早見表!N11</f>
        <v>90191</v>
      </c>
      <c r="M11" s="67">
        <f>【更新要】掛金早見表!O11</f>
        <v>100050</v>
      </c>
      <c r="N11" s="67">
        <f>【更新要】掛金早見表!P11</f>
        <v>109876</v>
      </c>
      <c r="O11" s="67">
        <f>【更新要】掛金早見表!Q11</f>
        <v>119670</v>
      </c>
      <c r="P11" s="69">
        <f t="shared" si="0"/>
        <v>694</v>
      </c>
      <c r="Q11" s="73">
        <f t="shared" si="1"/>
        <v>2562</v>
      </c>
    </row>
    <row r="12" spans="1:17" ht="18.75" customHeight="1">
      <c r="A12" s="72">
        <f>【更新要】掛金早見表!B12</f>
        <v>8</v>
      </c>
      <c r="B12" s="90">
        <f>【更新要】掛金早見表!C12</f>
        <v>118000</v>
      </c>
      <c r="C12" s="87">
        <f>【更新要】掛金早見表!D12</f>
        <v>10926</v>
      </c>
      <c r="D12" s="67">
        <f>【更新要】掛金早見表!F12</f>
        <v>10890</v>
      </c>
      <c r="E12" s="67">
        <f>【更新要】掛金早見表!G12</f>
        <v>21745</v>
      </c>
      <c r="F12" s="67">
        <f>【更新要】掛金早見表!H12</f>
        <v>32565</v>
      </c>
      <c r="G12" s="67">
        <f>【更新要】掛金早見表!I12</f>
        <v>43349</v>
      </c>
      <c r="H12" s="67">
        <f>【更新要】掛金早見表!J12</f>
        <v>54098</v>
      </c>
      <c r="I12" s="67">
        <f>【更新要】掛金早見表!K12</f>
        <v>64811</v>
      </c>
      <c r="J12" s="67">
        <f>【更新要】掛金早見表!L12</f>
        <v>75490</v>
      </c>
      <c r="K12" s="67">
        <f>【更新要】掛金早見表!M12</f>
        <v>86134</v>
      </c>
      <c r="L12" s="67">
        <f>【更新要】掛金早見表!N12</f>
        <v>96744</v>
      </c>
      <c r="M12" s="67">
        <f>【更新要】掛金早見表!O12</f>
        <v>107318</v>
      </c>
      <c r="N12" s="67">
        <f>【更新要】掛金早見表!P12</f>
        <v>117858</v>
      </c>
      <c r="O12" s="67">
        <f>【更新要】掛金早見表!Q12</f>
        <v>128364</v>
      </c>
      <c r="P12" s="69">
        <f t="shared" si="0"/>
        <v>745</v>
      </c>
      <c r="Q12" s="73">
        <f t="shared" si="1"/>
        <v>2748</v>
      </c>
    </row>
    <row r="13" spans="1:17" ht="18.75" customHeight="1">
      <c r="A13" s="72">
        <f>【更新要】掛金早見表!B13</f>
        <v>9</v>
      </c>
      <c r="B13" s="90">
        <f>【更新要】掛金早見表!C13</f>
        <v>126000</v>
      </c>
      <c r="C13" s="87">
        <f>【更新要】掛金早見表!D13</f>
        <v>11667</v>
      </c>
      <c r="D13" s="67">
        <f>【更新要】掛金早見表!F13</f>
        <v>11629</v>
      </c>
      <c r="E13" s="67">
        <f>【更新要】掛金早見表!G13</f>
        <v>23220</v>
      </c>
      <c r="F13" s="67">
        <f>【更新要】掛金早見表!H13</f>
        <v>34773</v>
      </c>
      <c r="G13" s="67">
        <f>【更新要】掛金早見表!I13</f>
        <v>46289</v>
      </c>
      <c r="H13" s="67">
        <f>【更新要】掛金早見表!J13</f>
        <v>57766</v>
      </c>
      <c r="I13" s="67">
        <f>【更新要】掛金早見表!K13</f>
        <v>69207</v>
      </c>
      <c r="J13" s="67">
        <f>【更新要】掛金早見表!L13</f>
        <v>80610</v>
      </c>
      <c r="K13" s="67">
        <f>【更新要】掛金早見表!M13</f>
        <v>91976</v>
      </c>
      <c r="L13" s="67">
        <f>【更新要】掛金早見表!N13</f>
        <v>103305</v>
      </c>
      <c r="M13" s="67">
        <f>【更新要】掛金早見表!O13</f>
        <v>114597</v>
      </c>
      <c r="N13" s="67">
        <f>【更新要】掛金早見表!P13</f>
        <v>125852</v>
      </c>
      <c r="O13" s="67">
        <f>【更新要】掛金早見表!Q13</f>
        <v>137070</v>
      </c>
      <c r="P13" s="69">
        <f t="shared" si="0"/>
        <v>795</v>
      </c>
      <c r="Q13" s="73">
        <f t="shared" si="1"/>
        <v>2934</v>
      </c>
    </row>
    <row r="14" spans="1:17" ht="18.75" customHeight="1">
      <c r="A14" s="72">
        <f>【更新要】掛金早見表!B14</f>
        <v>10</v>
      </c>
      <c r="B14" s="90">
        <f>【更新要】掛金早見表!C14</f>
        <v>134000</v>
      </c>
      <c r="C14" s="87">
        <f>【更新要】掛金早見表!D14</f>
        <v>12408</v>
      </c>
      <c r="D14" s="67">
        <f>【更新要】掛金早見表!F14</f>
        <v>12368</v>
      </c>
      <c r="E14" s="67">
        <f>【更新要】掛金早見表!G14</f>
        <v>24695</v>
      </c>
      <c r="F14" s="67">
        <f>【更新要】掛金早見表!H14</f>
        <v>36982</v>
      </c>
      <c r="G14" s="67">
        <f>【更新要】掛金早見表!I14</f>
        <v>49228</v>
      </c>
      <c r="H14" s="67">
        <f>【更新要】掛金早見表!J14</f>
        <v>61435</v>
      </c>
      <c r="I14" s="67">
        <f>【更新要】掛金早見表!K14</f>
        <v>73602</v>
      </c>
      <c r="J14" s="67">
        <f>【更新要】掛金早見表!L14</f>
        <v>85730</v>
      </c>
      <c r="K14" s="67">
        <f>【更新要】掛金早見表!M14</f>
        <v>97817</v>
      </c>
      <c r="L14" s="67">
        <f>【更新要】掛金早見表!N14</f>
        <v>109866</v>
      </c>
      <c r="M14" s="67">
        <f>【更新要】掛金早見表!O14</f>
        <v>121875</v>
      </c>
      <c r="N14" s="67">
        <f>【更新要】掛金早見表!P14</f>
        <v>133845</v>
      </c>
      <c r="O14" s="67">
        <f>【更新要】掛金早見表!Q14</f>
        <v>145775</v>
      </c>
      <c r="P14" s="69">
        <f t="shared" si="0"/>
        <v>846</v>
      </c>
      <c r="Q14" s="73">
        <f t="shared" si="1"/>
        <v>3121</v>
      </c>
    </row>
    <row r="15" spans="1:17" ht="18.75" customHeight="1">
      <c r="A15" s="72">
        <f>【更新要】掛金早見表!B15</f>
        <v>11</v>
      </c>
      <c r="B15" s="90">
        <f>【更新要】掛金早見表!C15</f>
        <v>142000</v>
      </c>
      <c r="C15" s="87">
        <f>【更新要】掛金早見表!D15</f>
        <v>13149</v>
      </c>
      <c r="D15" s="67">
        <f>【更新要】掛金早見表!F15</f>
        <v>13106</v>
      </c>
      <c r="E15" s="67">
        <f>【更新要】掛金早見表!G15</f>
        <v>26169</v>
      </c>
      <c r="F15" s="67">
        <f>【更新要】掛金早見表!H15</f>
        <v>39190</v>
      </c>
      <c r="G15" s="67">
        <f>【更新要】掛金早見表!I15</f>
        <v>52168</v>
      </c>
      <c r="H15" s="67">
        <f>【更新要】掛金早見表!J15</f>
        <v>65104</v>
      </c>
      <c r="I15" s="67">
        <f>【更新要】掛金早見表!K15</f>
        <v>77998</v>
      </c>
      <c r="J15" s="67">
        <f>【更新要】掛金早見表!L15</f>
        <v>90849</v>
      </c>
      <c r="K15" s="67">
        <f>【更新要】掛金早見表!M15</f>
        <v>103659</v>
      </c>
      <c r="L15" s="67">
        <f>【更新要】掛金早見表!N15</f>
        <v>116427</v>
      </c>
      <c r="M15" s="67">
        <f>【更新要】掛金早見表!O15</f>
        <v>129153</v>
      </c>
      <c r="N15" s="67">
        <f>【更新要】掛金早見表!P15</f>
        <v>141838</v>
      </c>
      <c r="O15" s="67">
        <f>【更新要】掛金早見表!Q15</f>
        <v>154481</v>
      </c>
      <c r="P15" s="69">
        <f t="shared" si="0"/>
        <v>896</v>
      </c>
      <c r="Q15" s="73">
        <f t="shared" si="1"/>
        <v>3307</v>
      </c>
    </row>
    <row r="16" spans="1:17" ht="18.75" customHeight="1">
      <c r="A16" s="72">
        <f>【更新要】掛金早見表!B16</f>
        <v>12</v>
      </c>
      <c r="B16" s="90">
        <f>【更新要】掛金早見表!C16</f>
        <v>150000</v>
      </c>
      <c r="C16" s="87">
        <f>【更新要】掛金早見表!D16</f>
        <v>13890</v>
      </c>
      <c r="D16" s="67">
        <f>【更新要】掛金早見表!F16</f>
        <v>13845</v>
      </c>
      <c r="E16" s="67">
        <f>【更新要】掛金早見表!G16</f>
        <v>27644</v>
      </c>
      <c r="F16" s="67">
        <f>【更新要】掛金早見表!H16</f>
        <v>41399</v>
      </c>
      <c r="G16" s="67">
        <f>【更新要】掛金早見表!I16</f>
        <v>55108</v>
      </c>
      <c r="H16" s="67">
        <f>【更新要】掛金早見表!J16</f>
        <v>68773</v>
      </c>
      <c r="I16" s="67">
        <f>【更新要】掛金早見表!K16</f>
        <v>82393</v>
      </c>
      <c r="J16" s="67">
        <f>【更新要】掛金早見表!L16</f>
        <v>95969</v>
      </c>
      <c r="K16" s="67">
        <f>【更新要】掛金早見表!M16</f>
        <v>109501</v>
      </c>
      <c r="L16" s="67">
        <f>【更新要】掛金早見表!N16</f>
        <v>122988</v>
      </c>
      <c r="M16" s="67">
        <f>【更新要】掛金早見表!O16</f>
        <v>136431</v>
      </c>
      <c r="N16" s="67">
        <f>【更新要】掛金早見表!P16</f>
        <v>149831</v>
      </c>
      <c r="O16" s="67">
        <f>【更新要】掛金早見表!Q16</f>
        <v>163187</v>
      </c>
      <c r="P16" s="69">
        <f t="shared" si="0"/>
        <v>947</v>
      </c>
      <c r="Q16" s="73">
        <f t="shared" si="1"/>
        <v>3493</v>
      </c>
    </row>
    <row r="17" spans="1:17" ht="18.75" customHeight="1">
      <c r="A17" s="72">
        <f>【更新要】掛金早見表!B17</f>
        <v>13</v>
      </c>
      <c r="B17" s="90">
        <f>【更新要】掛金早見表!C17</f>
        <v>160000</v>
      </c>
      <c r="C17" s="87">
        <f>【更新要】掛金早見表!D17</f>
        <v>14816</v>
      </c>
      <c r="D17" s="67">
        <f>【更新要】掛金早見表!F17</f>
        <v>14768</v>
      </c>
      <c r="E17" s="67">
        <f>【更新要】掛金早見表!G17</f>
        <v>29487</v>
      </c>
      <c r="F17" s="67">
        <f>【更新要】掛金早見表!H17</f>
        <v>44159</v>
      </c>
      <c r="G17" s="67">
        <f>【更新要】掛金早見表!I17</f>
        <v>58782</v>
      </c>
      <c r="H17" s="67">
        <f>【更新要】掛金早見表!J17</f>
        <v>73358</v>
      </c>
      <c r="I17" s="67">
        <f>【更新要】掛金早見表!K17</f>
        <v>87886</v>
      </c>
      <c r="J17" s="67">
        <f>【更新要】掛金早見表!L17</f>
        <v>102367</v>
      </c>
      <c r="K17" s="67">
        <f>【更新要】掛金早見表!M17</f>
        <v>116801</v>
      </c>
      <c r="L17" s="67">
        <f>【更新要】掛金早見表!N17</f>
        <v>131187</v>
      </c>
      <c r="M17" s="67">
        <f>【更新要】掛金早見表!O17</f>
        <v>145527</v>
      </c>
      <c r="N17" s="67">
        <f>【更新要】掛金早見表!P17</f>
        <v>159820</v>
      </c>
      <c r="O17" s="67">
        <f>【更新要】掛金早見表!Q17</f>
        <v>174066</v>
      </c>
      <c r="P17" s="69">
        <f t="shared" si="0"/>
        <v>1010</v>
      </c>
      <c r="Q17" s="73">
        <f t="shared" si="1"/>
        <v>3726</v>
      </c>
    </row>
    <row r="18" spans="1:17" ht="18.75" customHeight="1">
      <c r="A18" s="72">
        <f>【更新要】掛金早見表!B18</f>
        <v>14</v>
      </c>
      <c r="B18" s="90">
        <f>【更新要】掛金早見表!C18</f>
        <v>170000</v>
      </c>
      <c r="C18" s="87">
        <f>【更新要】掛金早見表!D18</f>
        <v>15742</v>
      </c>
      <c r="D18" s="67">
        <f>【更新要】掛金早見表!F18</f>
        <v>15691</v>
      </c>
      <c r="E18" s="67">
        <f>【更新要】掛金早見表!G18</f>
        <v>31330</v>
      </c>
      <c r="F18" s="67">
        <f>【更新要】掛金早見表!H18</f>
        <v>46918</v>
      </c>
      <c r="G18" s="67">
        <f>【更新要】掛金早見表!I18</f>
        <v>62456</v>
      </c>
      <c r="H18" s="67">
        <f>【更新要】掛金早見表!J18</f>
        <v>77943</v>
      </c>
      <c r="I18" s="67">
        <f>【更新要】掛金早見表!K18</f>
        <v>93379</v>
      </c>
      <c r="J18" s="67">
        <f>【更新要】掛金早見表!L18</f>
        <v>108765</v>
      </c>
      <c r="K18" s="67">
        <f>【更新要】掛金早見表!M18</f>
        <v>124101</v>
      </c>
      <c r="L18" s="67">
        <f>【更新要】掛金早見表!N18</f>
        <v>139386</v>
      </c>
      <c r="M18" s="67">
        <f>【更新要】掛金早見表!O18</f>
        <v>154622</v>
      </c>
      <c r="N18" s="67">
        <f>【更新要】掛金早見表!P18</f>
        <v>169808</v>
      </c>
      <c r="O18" s="67">
        <f>【更新要】掛金早見表!Q18</f>
        <v>184945</v>
      </c>
      <c r="P18" s="69">
        <f t="shared" si="0"/>
        <v>1073</v>
      </c>
      <c r="Q18" s="73">
        <f t="shared" si="1"/>
        <v>3959</v>
      </c>
    </row>
    <row r="19" spans="1:17" ht="18.75" customHeight="1">
      <c r="A19" s="72">
        <f>【更新要】掛金早見表!B19</f>
        <v>15</v>
      </c>
      <c r="B19" s="90">
        <f>【更新要】掛金早見表!C19</f>
        <v>180000</v>
      </c>
      <c r="C19" s="87">
        <f>【更新要】掛金早見表!D19</f>
        <v>16668</v>
      </c>
      <c r="D19" s="67">
        <f>【更新要】掛金早見表!F19</f>
        <v>16614</v>
      </c>
      <c r="E19" s="67">
        <f>【更新要】掛金早見表!G19</f>
        <v>33173</v>
      </c>
      <c r="F19" s="67">
        <f>【更新要】掛金早見表!H19</f>
        <v>49678</v>
      </c>
      <c r="G19" s="67">
        <f>【更新要】掛金早見表!I19</f>
        <v>66130</v>
      </c>
      <c r="H19" s="67">
        <f>【更新要】掛金早見表!J19</f>
        <v>82528</v>
      </c>
      <c r="I19" s="67">
        <f>【更新要】掛金早見表!K19</f>
        <v>98872</v>
      </c>
      <c r="J19" s="67">
        <f>【更新要】掛金早見表!L19</f>
        <v>115163</v>
      </c>
      <c r="K19" s="67">
        <f>【更新要】掛金早見表!M19</f>
        <v>131401</v>
      </c>
      <c r="L19" s="67">
        <f>【更新要】掛金早見表!N19</f>
        <v>147586</v>
      </c>
      <c r="M19" s="67">
        <f>【更新要】掛金早見表!O19</f>
        <v>163718</v>
      </c>
      <c r="N19" s="67">
        <f>【更新要】掛金早見表!P19</f>
        <v>179797</v>
      </c>
      <c r="O19" s="67">
        <f>【更新要】掛金早見表!Q19</f>
        <v>195824</v>
      </c>
      <c r="P19" s="69">
        <f t="shared" si="0"/>
        <v>1136</v>
      </c>
      <c r="Q19" s="73">
        <f t="shared" si="1"/>
        <v>4192</v>
      </c>
    </row>
    <row r="20" spans="1:17" ht="18.75" customHeight="1">
      <c r="A20" s="72">
        <f>【更新要】掛金早見表!B20</f>
        <v>16</v>
      </c>
      <c r="B20" s="90">
        <f>【更新要】掛金早見表!C20</f>
        <v>190000</v>
      </c>
      <c r="C20" s="87">
        <f>【更新要】掛金早見表!D20</f>
        <v>17594</v>
      </c>
      <c r="D20" s="67">
        <f>【更新要】掛金早見表!F20</f>
        <v>17537</v>
      </c>
      <c r="E20" s="67">
        <f>【更新要】掛金早見表!G20</f>
        <v>35016</v>
      </c>
      <c r="F20" s="67">
        <f>【更新要】掛金早見表!H20</f>
        <v>52438</v>
      </c>
      <c r="G20" s="67">
        <f>【更新要】掛金早見表!I20</f>
        <v>69804</v>
      </c>
      <c r="H20" s="67">
        <f>【更新要】掛金早見表!J20</f>
        <v>87113</v>
      </c>
      <c r="I20" s="67">
        <f>【更新要】掛金早見表!K20</f>
        <v>104365</v>
      </c>
      <c r="J20" s="67">
        <f>【更新要】掛金早見表!L20</f>
        <v>121561</v>
      </c>
      <c r="K20" s="67">
        <f>【更新要】掛金早見表!M20</f>
        <v>138701</v>
      </c>
      <c r="L20" s="67">
        <f>【更新要】掛金早見表!N20</f>
        <v>155785</v>
      </c>
      <c r="M20" s="67">
        <f>【更新要】掛金早見表!O20</f>
        <v>172813</v>
      </c>
      <c r="N20" s="67">
        <f>【更新要】掛金早見表!P20</f>
        <v>189786</v>
      </c>
      <c r="O20" s="67">
        <f>【更新要】掛金早見表!Q20</f>
        <v>206703</v>
      </c>
      <c r="P20" s="69">
        <f t="shared" si="0"/>
        <v>1199</v>
      </c>
      <c r="Q20" s="73">
        <f t="shared" si="1"/>
        <v>4425</v>
      </c>
    </row>
    <row r="21" spans="1:17" ht="18.75" customHeight="1">
      <c r="A21" s="72">
        <f>【更新要】掛金早見表!B21</f>
        <v>17</v>
      </c>
      <c r="B21" s="90">
        <f>【更新要】掛金早見表!C21</f>
        <v>200000</v>
      </c>
      <c r="C21" s="87">
        <f>【更新要】掛金早見表!D21</f>
        <v>18520</v>
      </c>
      <c r="D21" s="67">
        <f>【更新要】掛金早見表!F21</f>
        <v>18460</v>
      </c>
      <c r="E21" s="67">
        <f>【更新要】掛金早見表!G21</f>
        <v>36859</v>
      </c>
      <c r="F21" s="67">
        <f>【更新要】掛金早見表!H21</f>
        <v>55198</v>
      </c>
      <c r="G21" s="67">
        <f>【更新要】掛金早見表!I21</f>
        <v>73478</v>
      </c>
      <c r="H21" s="67">
        <f>【更新要】掛金早見表!J21</f>
        <v>91697</v>
      </c>
      <c r="I21" s="67">
        <f>【更新要】掛金早見表!K21</f>
        <v>109858</v>
      </c>
      <c r="J21" s="67">
        <f>【更新要】掛金早見表!L21</f>
        <v>127959</v>
      </c>
      <c r="K21" s="67">
        <f>【更新要】掛金早見表!M21</f>
        <v>146001</v>
      </c>
      <c r="L21" s="67">
        <f>【更新要】掛金早見表!N21</f>
        <v>163984</v>
      </c>
      <c r="M21" s="67">
        <f>【更新要】掛金早見表!O21</f>
        <v>181909</v>
      </c>
      <c r="N21" s="67">
        <f>【更新要】掛金早見表!P21</f>
        <v>199775</v>
      </c>
      <c r="O21" s="67">
        <f>【更新要】掛金早見表!Q21</f>
        <v>217582</v>
      </c>
      <c r="P21" s="69">
        <f t="shared" si="0"/>
        <v>1262</v>
      </c>
      <c r="Q21" s="73">
        <f t="shared" si="1"/>
        <v>4658</v>
      </c>
    </row>
    <row r="22" spans="1:17" ht="18.75" customHeight="1">
      <c r="A22" s="72">
        <f>【更新要】掛金早見表!B22</f>
        <v>18</v>
      </c>
      <c r="B22" s="90">
        <f>【更新要】掛金早見表!C22</f>
        <v>220000</v>
      </c>
      <c r="C22" s="87">
        <f>【更新要】掛金早見表!D22</f>
        <v>20372</v>
      </c>
      <c r="D22" s="67">
        <f>【更新要】掛金早見表!F22</f>
        <v>20306</v>
      </c>
      <c r="E22" s="67">
        <f>【更新要】掛金早見表!G22</f>
        <v>40545</v>
      </c>
      <c r="F22" s="67">
        <f>【更新要】掛金早見表!H22</f>
        <v>60718</v>
      </c>
      <c r="G22" s="67">
        <f>【更新要】掛金早見表!I22</f>
        <v>80825</v>
      </c>
      <c r="H22" s="67">
        <f>【更新要】掛金早見表!J22</f>
        <v>100867</v>
      </c>
      <c r="I22" s="67">
        <f>【更新要】掛金早見表!K22</f>
        <v>120844</v>
      </c>
      <c r="J22" s="67">
        <f>【更新要】掛金早見表!L22</f>
        <v>140755</v>
      </c>
      <c r="K22" s="67">
        <f>【更新要】掛金早見表!M22</f>
        <v>160601</v>
      </c>
      <c r="L22" s="67">
        <f>【更新要】掛金早見表!N22</f>
        <v>180383</v>
      </c>
      <c r="M22" s="67">
        <f>【更新要】掛金早見表!O22</f>
        <v>200099</v>
      </c>
      <c r="N22" s="67">
        <f>【更新要】掛金早見表!P22</f>
        <v>219752</v>
      </c>
      <c r="O22" s="67">
        <f>【更新要】掛金早見表!Q22</f>
        <v>239340</v>
      </c>
      <c r="P22" s="69">
        <f t="shared" si="0"/>
        <v>1388</v>
      </c>
      <c r="Q22" s="73">
        <f t="shared" si="1"/>
        <v>5124</v>
      </c>
    </row>
    <row r="23" spans="1:17" ht="18.75" customHeight="1">
      <c r="A23" s="72">
        <f>【更新要】掛金早見表!B23</f>
        <v>19</v>
      </c>
      <c r="B23" s="90">
        <f>【更新要】掛金早見表!C23</f>
        <v>240000</v>
      </c>
      <c r="C23" s="87">
        <f>【更新要】掛金早見表!D23</f>
        <v>22224</v>
      </c>
      <c r="D23" s="67">
        <f>【更新要】掛金早見表!F23</f>
        <v>22151</v>
      </c>
      <c r="E23" s="67">
        <f>【更新要】掛金早見表!G23</f>
        <v>44231</v>
      </c>
      <c r="F23" s="67">
        <f>【更新要】掛金早見表!H23</f>
        <v>66238</v>
      </c>
      <c r="G23" s="67">
        <f>【更新要】掛金早見表!I23</f>
        <v>88173</v>
      </c>
      <c r="H23" s="67">
        <f>【更新要】掛金早見表!J23</f>
        <v>110037</v>
      </c>
      <c r="I23" s="67">
        <f>【更新要】掛金早見表!K23</f>
        <v>131829</v>
      </c>
      <c r="J23" s="67">
        <f>【更新要】掛金早見表!L23</f>
        <v>153551</v>
      </c>
      <c r="K23" s="67">
        <f>【更新要】掛金早見表!M23</f>
        <v>175201</v>
      </c>
      <c r="L23" s="67">
        <f>【更新要】掛金早見表!N23</f>
        <v>196781</v>
      </c>
      <c r="M23" s="67">
        <f>【更新要】掛金早見表!O23</f>
        <v>218290</v>
      </c>
      <c r="N23" s="67">
        <f>【更新要】掛金早見表!P23</f>
        <v>239729</v>
      </c>
      <c r="O23" s="67">
        <f>【更新要】掛金早見表!Q23</f>
        <v>261099</v>
      </c>
      <c r="P23" s="69">
        <f t="shared" si="0"/>
        <v>1515</v>
      </c>
      <c r="Q23" s="73">
        <f t="shared" si="1"/>
        <v>5589</v>
      </c>
    </row>
    <row r="24" spans="1:17" ht="18.75" customHeight="1">
      <c r="A24" s="72">
        <f>【更新要】掛金早見表!B24</f>
        <v>20</v>
      </c>
      <c r="B24" s="90">
        <f>【更新要】掛金早見表!C24</f>
        <v>260000</v>
      </c>
      <c r="C24" s="87">
        <f>【更新要】掛金早見表!D24</f>
        <v>24076</v>
      </c>
      <c r="D24" s="67">
        <f>【更新要】掛金早見表!F24</f>
        <v>23997</v>
      </c>
      <c r="E24" s="67">
        <f>【更新要】掛金早見表!G24</f>
        <v>47917</v>
      </c>
      <c r="F24" s="67">
        <f>【更新要】掛金早見表!H24</f>
        <v>71758</v>
      </c>
      <c r="G24" s="67">
        <f>【更新要】掛金早見表!I24</f>
        <v>95521</v>
      </c>
      <c r="H24" s="67">
        <f>【更新要】掛金早見表!J24</f>
        <v>119207</v>
      </c>
      <c r="I24" s="67">
        <f>【更新要】掛金早見表!K24</f>
        <v>142815</v>
      </c>
      <c r="J24" s="67">
        <f>【更新要】掛金早見表!L24</f>
        <v>166347</v>
      </c>
      <c r="K24" s="67">
        <f>【更新要】掛金早見表!M24</f>
        <v>189801</v>
      </c>
      <c r="L24" s="67">
        <f>【更新要】掛金早見表!N24</f>
        <v>213179</v>
      </c>
      <c r="M24" s="67">
        <f>【更新要】掛金早見表!O24</f>
        <v>236481</v>
      </c>
      <c r="N24" s="67">
        <f>【更新要】掛金早見表!P24</f>
        <v>259707</v>
      </c>
      <c r="O24" s="67">
        <f>【更新要】掛金早見表!Q24</f>
        <v>282857</v>
      </c>
      <c r="P24" s="69">
        <f t="shared" si="0"/>
        <v>1641</v>
      </c>
      <c r="Q24" s="73">
        <f t="shared" si="1"/>
        <v>6055</v>
      </c>
    </row>
    <row r="25" spans="1:17" ht="18.75" customHeight="1">
      <c r="A25" s="72">
        <f>【更新要】掛金早見表!B25</f>
        <v>21</v>
      </c>
      <c r="B25" s="90">
        <f>【更新要】掛金早見表!C25</f>
        <v>280000</v>
      </c>
      <c r="C25" s="87">
        <f>【更新要】掛金早見表!D25</f>
        <v>25928</v>
      </c>
      <c r="D25" s="67">
        <f>【更新要】掛金早見表!F25</f>
        <v>25843</v>
      </c>
      <c r="E25" s="67">
        <f>【更新要】掛金早見表!G25</f>
        <v>51602</v>
      </c>
      <c r="F25" s="67">
        <f>【更新要】掛金早見表!H25</f>
        <v>77277</v>
      </c>
      <c r="G25" s="67">
        <f>【更新要】掛金早見表!I25</f>
        <v>102869</v>
      </c>
      <c r="H25" s="67">
        <f>【更新要】掛金早見表!J25</f>
        <v>128376</v>
      </c>
      <c r="I25" s="67">
        <f>【更新要】掛金早見表!K25</f>
        <v>153801</v>
      </c>
      <c r="J25" s="67">
        <f>【更新要】掛金早見表!L25</f>
        <v>179142</v>
      </c>
      <c r="K25" s="67">
        <f>【更新要】掛金早見表!M25</f>
        <v>204401</v>
      </c>
      <c r="L25" s="67">
        <f>【更新要】掛金早見表!N25</f>
        <v>229578</v>
      </c>
      <c r="M25" s="67">
        <f>【更新要】掛金早見表!O25</f>
        <v>254672</v>
      </c>
      <c r="N25" s="67">
        <f>【更新要】掛金早見表!P25</f>
        <v>279684</v>
      </c>
      <c r="O25" s="67">
        <f>【更新要】掛金早見表!Q25</f>
        <v>304615</v>
      </c>
      <c r="P25" s="69">
        <f t="shared" si="0"/>
        <v>1767</v>
      </c>
      <c r="Q25" s="73">
        <f t="shared" si="1"/>
        <v>6521</v>
      </c>
    </row>
    <row r="26" spans="1:17" ht="18.75" customHeight="1">
      <c r="A26" s="72">
        <f>【更新要】掛金早見表!B26</f>
        <v>22</v>
      </c>
      <c r="B26" s="90">
        <f>【更新要】掛金早見表!C26</f>
        <v>300000</v>
      </c>
      <c r="C26" s="87">
        <f>【更新要】掛金早見表!D26</f>
        <v>27780</v>
      </c>
      <c r="D26" s="67">
        <f>【更新要】掛金早見表!F26</f>
        <v>27689</v>
      </c>
      <c r="E26" s="67">
        <f>【更新要】掛金早見表!G26</f>
        <v>55288</v>
      </c>
      <c r="F26" s="67">
        <f>【更新要】掛金早見表!H26</f>
        <v>82797</v>
      </c>
      <c r="G26" s="67">
        <f>【更新要】掛金早見表!I26</f>
        <v>110216</v>
      </c>
      <c r="H26" s="67">
        <f>【更新要】掛金早見表!J26</f>
        <v>137546</v>
      </c>
      <c r="I26" s="67">
        <f>【更新要】掛金早見表!K26</f>
        <v>164787</v>
      </c>
      <c r="J26" s="67">
        <f>【更新要】掛金早見表!L26</f>
        <v>191938</v>
      </c>
      <c r="K26" s="67">
        <f>【更新要】掛金早見表!M26</f>
        <v>219001</v>
      </c>
      <c r="L26" s="67">
        <f>【更新要】掛金早見表!N26</f>
        <v>245976</v>
      </c>
      <c r="M26" s="67">
        <f>【更新要】掛金早見表!O26</f>
        <v>272863</v>
      </c>
      <c r="N26" s="67">
        <f>【更新要】掛金早見表!P26</f>
        <v>299662</v>
      </c>
      <c r="O26" s="67">
        <f>【更新要】掛金早見表!Q26</f>
        <v>326373</v>
      </c>
      <c r="P26" s="69">
        <f t="shared" si="0"/>
        <v>1893</v>
      </c>
      <c r="Q26" s="73">
        <f t="shared" si="1"/>
        <v>6987</v>
      </c>
    </row>
    <row r="27" spans="1:17" ht="18.75" customHeight="1">
      <c r="A27" s="72">
        <f>【更新要】掛金早見表!B27</f>
        <v>23</v>
      </c>
      <c r="B27" s="90">
        <f>【更新要】掛金早見表!C27</f>
        <v>320000</v>
      </c>
      <c r="C27" s="87">
        <f>【更新要】掛金早見表!D27</f>
        <v>29632</v>
      </c>
      <c r="D27" s="67">
        <f>【更新要】掛金早見表!F27</f>
        <v>29535</v>
      </c>
      <c r="E27" s="67">
        <f>【更新要】掛金早見表!G27</f>
        <v>58974</v>
      </c>
      <c r="F27" s="67">
        <f>【更新要】掛金早見表!H27</f>
        <v>88317</v>
      </c>
      <c r="G27" s="67">
        <f>【更新要】掛金早見表!I27</f>
        <v>117564</v>
      </c>
      <c r="H27" s="67">
        <f>【更新要】掛金早見表!J27</f>
        <v>146716</v>
      </c>
      <c r="I27" s="67">
        <f>【更新要】掛金早見表!K27</f>
        <v>175772</v>
      </c>
      <c r="J27" s="67">
        <f>【更新要】掛金早見表!L27</f>
        <v>204734</v>
      </c>
      <c r="K27" s="67">
        <f>【更新要】掛金早見表!M27</f>
        <v>233602</v>
      </c>
      <c r="L27" s="67">
        <f>【更新要】掛金早見表!N27</f>
        <v>262375</v>
      </c>
      <c r="M27" s="67">
        <f>【更新要】掛金早見表!O27</f>
        <v>291054</v>
      </c>
      <c r="N27" s="67">
        <f>【更新要】掛金早見表!P27</f>
        <v>319639</v>
      </c>
      <c r="O27" s="67">
        <f>【更新要】掛金早見表!Q27</f>
        <v>348132</v>
      </c>
      <c r="P27" s="69">
        <f t="shared" si="0"/>
        <v>2020</v>
      </c>
      <c r="Q27" s="73">
        <f t="shared" si="1"/>
        <v>7452</v>
      </c>
    </row>
    <row r="28" spans="1:17" ht="18.75" customHeight="1" thickBot="1">
      <c r="A28" s="100">
        <f>【更新要】掛金早見表!B28</f>
        <v>24</v>
      </c>
      <c r="B28" s="101">
        <f>【更新要】掛金早見表!C28</f>
        <v>340000</v>
      </c>
      <c r="C28" s="102">
        <f>【更新要】掛金早見表!D28</f>
        <v>31484</v>
      </c>
      <c r="D28" s="103">
        <f>【更新要】掛金早見表!F28</f>
        <v>31381</v>
      </c>
      <c r="E28" s="103">
        <f>【更新要】掛金早見表!G28</f>
        <v>62660</v>
      </c>
      <c r="F28" s="103">
        <f>【更新要】掛金早見表!H28</f>
        <v>93837</v>
      </c>
      <c r="G28" s="103">
        <f>【更新要】掛金早見表!I28</f>
        <v>124912</v>
      </c>
      <c r="H28" s="103">
        <f>【更新要】掛金早見表!J28</f>
        <v>155886</v>
      </c>
      <c r="I28" s="103">
        <f>【更新要】掛金早見表!K28</f>
        <v>186758</v>
      </c>
      <c r="J28" s="103">
        <f>【更新要】掛金早見表!L28</f>
        <v>217530</v>
      </c>
      <c r="K28" s="103">
        <f>【更新要】掛金早見表!M28</f>
        <v>248202</v>
      </c>
      <c r="L28" s="103">
        <f>【更新要】掛金早見表!N28</f>
        <v>278773</v>
      </c>
      <c r="M28" s="103">
        <f>【更新要】掛金早見表!O28</f>
        <v>309245</v>
      </c>
      <c r="N28" s="103">
        <f>【更新要】掛金早見表!P28</f>
        <v>339617</v>
      </c>
      <c r="O28" s="103">
        <f>【更新要】掛金早見表!Q28</f>
        <v>369890</v>
      </c>
      <c r="P28" s="104">
        <f t="shared" si="0"/>
        <v>2146</v>
      </c>
      <c r="Q28" s="105">
        <f t="shared" si="1"/>
        <v>7918</v>
      </c>
    </row>
    <row r="29" spans="1:17" ht="18.75" customHeight="1" thickTop="1">
      <c r="A29" s="106">
        <f>【更新要】掛金早見表!B29</f>
        <v>25</v>
      </c>
      <c r="B29" s="107">
        <f>【更新要】掛金早見表!C29</f>
        <v>360000</v>
      </c>
      <c r="C29" s="108">
        <f>【更新要】掛金早見表!D29</f>
        <v>33336</v>
      </c>
      <c r="D29" s="109">
        <f>【更新要】掛金早見表!F29</f>
        <v>33227</v>
      </c>
      <c r="E29" s="109">
        <f>【更新要】掛金早見表!G29</f>
        <v>66346</v>
      </c>
      <c r="F29" s="109">
        <f>【更新要】掛金早見表!H29</f>
        <v>99357</v>
      </c>
      <c r="G29" s="109">
        <f>【更新要】掛金早見表!I29</f>
        <v>132260</v>
      </c>
      <c r="H29" s="109">
        <f>【更新要】掛金早見表!J29</f>
        <v>165055</v>
      </c>
      <c r="I29" s="109">
        <f>【更新要】掛金早見表!K29</f>
        <v>197744</v>
      </c>
      <c r="J29" s="109">
        <f>【更新要】掛金早見表!L29</f>
        <v>230326</v>
      </c>
      <c r="K29" s="109">
        <f>【更新要】掛金早見表!M29</f>
        <v>262802</v>
      </c>
      <c r="L29" s="109">
        <f>【更新要】掛金早見表!N29</f>
        <v>295171</v>
      </c>
      <c r="M29" s="109">
        <f>【更新要】掛金早見表!O29</f>
        <v>327435</v>
      </c>
      <c r="N29" s="109">
        <f>【更新要】掛金早見表!P29</f>
        <v>359594</v>
      </c>
      <c r="O29" s="109">
        <f>【更新要】掛金早見表!Q29</f>
        <v>391648</v>
      </c>
      <c r="P29" s="110">
        <f t="shared" si="0"/>
        <v>2272</v>
      </c>
      <c r="Q29" s="111">
        <f t="shared" si="1"/>
        <v>8384</v>
      </c>
    </row>
    <row r="30" spans="1:17" ht="18.75" customHeight="1" thickBot="1">
      <c r="A30" s="74">
        <f>【更新要】掛金早見表!B30</f>
        <v>26</v>
      </c>
      <c r="B30" s="91">
        <f>【更新要】掛金早見表!C30</f>
        <v>380000</v>
      </c>
      <c r="C30" s="88">
        <f>【更新要】掛金早見表!D30</f>
        <v>35188</v>
      </c>
      <c r="D30" s="75">
        <f>【更新要】掛金早見表!F30</f>
        <v>35073</v>
      </c>
      <c r="E30" s="75">
        <f>【更新要】掛金早見表!G30</f>
        <v>70032</v>
      </c>
      <c r="F30" s="75">
        <f>【更新要】掛金早見表!H30</f>
        <v>104877</v>
      </c>
      <c r="G30" s="75">
        <f>【更新要】掛金早見表!I30</f>
        <v>139608</v>
      </c>
      <c r="H30" s="75">
        <f>【更新要】掛金早見表!J30</f>
        <v>174225</v>
      </c>
      <c r="I30" s="75">
        <f>【更新要】掛金早見表!K30</f>
        <v>208730</v>
      </c>
      <c r="J30" s="75">
        <f>【更新要】掛金早見表!L30</f>
        <v>243122</v>
      </c>
      <c r="K30" s="75">
        <f>【更新要】掛金早見表!M30</f>
        <v>277402</v>
      </c>
      <c r="L30" s="75">
        <f>【更新要】掛金早見表!N30</f>
        <v>311570</v>
      </c>
      <c r="M30" s="75">
        <f>【更新要】掛金早見表!O30</f>
        <v>345626</v>
      </c>
      <c r="N30" s="75">
        <f>【更新要】掛金早見表!P30</f>
        <v>379572</v>
      </c>
      <c r="O30" s="75">
        <f>【更新要】掛金早見表!Q30</f>
        <v>413406</v>
      </c>
      <c r="P30" s="76">
        <f t="shared" si="0"/>
        <v>2398</v>
      </c>
      <c r="Q30" s="77">
        <f t="shared" si="1"/>
        <v>8850</v>
      </c>
    </row>
    <row r="31" spans="1:17" ht="15" customHeight="1"/>
    <row r="32" spans="1:17" ht="15" customHeight="1" thickBot="1">
      <c r="C32" s="68" t="s">
        <v>133</v>
      </c>
      <c r="D32" s="68" t="str">
        <f>8.79*2&amp;"/1000"</f>
        <v>17.58/1000</v>
      </c>
      <c r="E32" s="68"/>
      <c r="F32" s="68"/>
      <c r="G32" s="68"/>
    </row>
    <row r="33" spans="1:17" ht="15" customHeight="1">
      <c r="A33" s="241" t="s">
        <v>131</v>
      </c>
      <c r="B33" s="243" t="s">
        <v>129</v>
      </c>
      <c r="C33" s="245" t="s">
        <v>130</v>
      </c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92" t="s">
        <v>75</v>
      </c>
      <c r="Q33" s="93"/>
    </row>
    <row r="34" spans="1:17" ht="15" customHeight="1" thickBot="1">
      <c r="A34" s="242"/>
      <c r="B34" s="244"/>
      <c r="C34" s="97">
        <f>C4</f>
        <v>0</v>
      </c>
      <c r="D34" s="94">
        <f t="shared" ref="D34:O34" si="2">D4</f>
        <v>1</v>
      </c>
      <c r="E34" s="94">
        <f t="shared" si="2"/>
        <v>2</v>
      </c>
      <c r="F34" s="94">
        <f t="shared" si="2"/>
        <v>3</v>
      </c>
      <c r="G34" s="94">
        <f t="shared" si="2"/>
        <v>4</v>
      </c>
      <c r="H34" s="94">
        <f t="shared" si="2"/>
        <v>5</v>
      </c>
      <c r="I34" s="94">
        <f t="shared" si="2"/>
        <v>6</v>
      </c>
      <c r="J34" s="94">
        <f t="shared" si="2"/>
        <v>7</v>
      </c>
      <c r="K34" s="94">
        <f t="shared" si="2"/>
        <v>8</v>
      </c>
      <c r="L34" s="94">
        <f t="shared" si="2"/>
        <v>9</v>
      </c>
      <c r="M34" s="94">
        <f t="shared" si="2"/>
        <v>10</v>
      </c>
      <c r="N34" s="94">
        <f t="shared" si="2"/>
        <v>11</v>
      </c>
      <c r="O34" s="94">
        <f t="shared" si="2"/>
        <v>12</v>
      </c>
      <c r="P34" s="95" t="s">
        <v>47</v>
      </c>
      <c r="Q34" s="96" t="s">
        <v>48</v>
      </c>
    </row>
    <row r="35" spans="1:17" ht="18.75" customHeight="1" thickTop="1">
      <c r="A35" s="78">
        <f t="shared" ref="A35:A57" si="3">A5</f>
        <v>1</v>
      </c>
      <c r="B35" s="89">
        <f>【更新要】掛金早見表!C42</f>
        <v>58000</v>
      </c>
      <c r="C35" s="86">
        <f>【更新要】掛金早見表!D42</f>
        <v>1038</v>
      </c>
      <c r="D35" s="79">
        <f>【更新要】掛金早見表!F42</f>
        <v>1035</v>
      </c>
      <c r="E35" s="79">
        <f>【更新要】掛金早見表!G42</f>
        <v>2066</v>
      </c>
      <c r="F35" s="79">
        <f>【更新要】掛金早見表!H42</f>
        <v>3094</v>
      </c>
      <c r="G35" s="79">
        <f>【更新要】掛金早見表!I42</f>
        <v>4118</v>
      </c>
      <c r="H35" s="79">
        <f>【更新要】掛金早見表!J42</f>
        <v>5139</v>
      </c>
      <c r="I35" s="79">
        <f>【更新要】掛金早見表!K42</f>
        <v>6157</v>
      </c>
      <c r="J35" s="79">
        <f>【更新要】掛金早見表!L42</f>
        <v>7172</v>
      </c>
      <c r="K35" s="79">
        <f>【更新要】掛金早見表!M42</f>
        <v>8183</v>
      </c>
      <c r="L35" s="79">
        <f>【更新要】掛金早見表!N42</f>
        <v>9191</v>
      </c>
      <c r="M35" s="79">
        <f>【更新要】掛金早見表!O42</f>
        <v>10196</v>
      </c>
      <c r="N35" s="79">
        <f>【更新要】掛金早見表!P42</f>
        <v>11197</v>
      </c>
      <c r="O35" s="79">
        <f>【更新要】掛金早見表!Q42</f>
        <v>12195</v>
      </c>
      <c r="P35" s="80">
        <f>C35*6-I35</f>
        <v>71</v>
      </c>
      <c r="Q35" s="81">
        <f>C35*12-O35</f>
        <v>261</v>
      </c>
    </row>
    <row r="36" spans="1:17" ht="18.75" customHeight="1">
      <c r="A36" s="72">
        <f t="shared" si="3"/>
        <v>2</v>
      </c>
      <c r="B36" s="90">
        <f>【更新要】掛金早見表!C43</f>
        <v>68000</v>
      </c>
      <c r="C36" s="87">
        <f>【更新要】掛金早見表!D43</f>
        <v>1217</v>
      </c>
      <c r="D36" s="67">
        <f>【更新要】掛金早見表!F43</f>
        <v>1213</v>
      </c>
      <c r="E36" s="67">
        <f>【更新要】掛金早見表!G43</f>
        <v>2422</v>
      </c>
      <c r="F36" s="67">
        <f>【更新要】掛金早見表!H43</f>
        <v>3627</v>
      </c>
      <c r="G36" s="67">
        <f>【更新要】掛金早見表!I43</f>
        <v>4828</v>
      </c>
      <c r="H36" s="67">
        <f>【更新要】掛金早見表!J43</f>
        <v>6026</v>
      </c>
      <c r="I36" s="67">
        <f>【更新要】掛金早見表!K43</f>
        <v>7219</v>
      </c>
      <c r="J36" s="67">
        <f>【更新要】掛金早見表!L43</f>
        <v>8409</v>
      </c>
      <c r="K36" s="67">
        <f>【更新要】掛金早見表!M43</f>
        <v>9594</v>
      </c>
      <c r="L36" s="67">
        <f>【更新要】掛金早見表!N43</f>
        <v>10776</v>
      </c>
      <c r="M36" s="67">
        <f>【更新要】掛金早見表!O43</f>
        <v>11954</v>
      </c>
      <c r="N36" s="67">
        <f>【更新要】掛金早見表!P43</f>
        <v>13128</v>
      </c>
      <c r="O36" s="67">
        <f>【更新要】掛金早見表!Q43</f>
        <v>14298</v>
      </c>
      <c r="P36" s="69">
        <f t="shared" ref="P36:P60" si="4">C36*6-I36</f>
        <v>83</v>
      </c>
      <c r="Q36" s="73">
        <f t="shared" ref="Q36:Q60" si="5">C36*12-O36</f>
        <v>306</v>
      </c>
    </row>
    <row r="37" spans="1:17" ht="18.75" customHeight="1">
      <c r="A37" s="72">
        <f t="shared" si="3"/>
        <v>3</v>
      </c>
      <c r="B37" s="90">
        <f>【更新要】掛金早見表!C44</f>
        <v>78000</v>
      </c>
      <c r="C37" s="87">
        <f>【更新要】掛金早見表!D44</f>
        <v>1396</v>
      </c>
      <c r="D37" s="67">
        <f>【更新要】掛金早見表!F44</f>
        <v>1391</v>
      </c>
      <c r="E37" s="67">
        <f>【更新要】掛金早見表!G44</f>
        <v>2778</v>
      </c>
      <c r="F37" s="67">
        <f>【更新要】掛金早見表!H44</f>
        <v>4161</v>
      </c>
      <c r="G37" s="67">
        <f>【更新要】掛金早見表!I44</f>
        <v>5539</v>
      </c>
      <c r="H37" s="67">
        <f>【更新要】掛金早見表!J44</f>
        <v>6912</v>
      </c>
      <c r="I37" s="67">
        <f>【更新要】掛金早見表!K44</f>
        <v>8281</v>
      </c>
      <c r="J37" s="67">
        <f>【更新要】掛金早見表!L44</f>
        <v>9645</v>
      </c>
      <c r="K37" s="67">
        <f>【更新要】掛金早見表!M44</f>
        <v>11005</v>
      </c>
      <c r="L37" s="67">
        <f>【更新要】掛金早見表!N44</f>
        <v>12361</v>
      </c>
      <c r="M37" s="67">
        <f>【更新要】掛金早見表!O44</f>
        <v>13712</v>
      </c>
      <c r="N37" s="67">
        <f>【更新要】掛金早見表!P44</f>
        <v>15059</v>
      </c>
      <c r="O37" s="67">
        <f>【更新要】掛金早見表!Q44</f>
        <v>16401</v>
      </c>
      <c r="P37" s="69">
        <f t="shared" si="4"/>
        <v>95</v>
      </c>
      <c r="Q37" s="73">
        <f t="shared" si="5"/>
        <v>351</v>
      </c>
    </row>
    <row r="38" spans="1:17" ht="18.75" customHeight="1">
      <c r="A38" s="72">
        <f t="shared" si="3"/>
        <v>4</v>
      </c>
      <c r="B38" s="90">
        <f>【更新要】掛金早見表!C45</f>
        <v>88000</v>
      </c>
      <c r="C38" s="87">
        <f>【更新要】掛金早見表!D45</f>
        <v>1575</v>
      </c>
      <c r="D38" s="67">
        <f>【更新要】掛金早見表!F45</f>
        <v>1570</v>
      </c>
      <c r="E38" s="67">
        <f>【更新要】掛金早見表!G45</f>
        <v>3135</v>
      </c>
      <c r="F38" s="67">
        <f>【更新要】掛金早見表!H45</f>
        <v>4694</v>
      </c>
      <c r="G38" s="67">
        <f>【更新要】掛金早見表!I45</f>
        <v>6249</v>
      </c>
      <c r="H38" s="67">
        <f>【更新要】掛金早見表!J45</f>
        <v>7798</v>
      </c>
      <c r="I38" s="67">
        <f>【更新要】掛金早見表!K45</f>
        <v>9343</v>
      </c>
      <c r="J38" s="67">
        <f>【更新要】掛金早見表!L45</f>
        <v>10882</v>
      </c>
      <c r="K38" s="67">
        <f>【更新要】掛金早見表!M45</f>
        <v>12416</v>
      </c>
      <c r="L38" s="67">
        <f>【更新要】掛金早見表!N45</f>
        <v>13946</v>
      </c>
      <c r="M38" s="67">
        <f>【更新要】掛金早見表!O45</f>
        <v>15470</v>
      </c>
      <c r="N38" s="67">
        <f>【更新要】掛金早見表!P45</f>
        <v>16989</v>
      </c>
      <c r="O38" s="67">
        <f>【更新要】掛金早見表!Q45</f>
        <v>18504</v>
      </c>
      <c r="P38" s="69">
        <f t="shared" si="4"/>
        <v>107</v>
      </c>
      <c r="Q38" s="73">
        <f t="shared" si="5"/>
        <v>396</v>
      </c>
    </row>
    <row r="39" spans="1:17" ht="18.75" customHeight="1">
      <c r="A39" s="72">
        <f t="shared" si="3"/>
        <v>5</v>
      </c>
      <c r="B39" s="90">
        <f>【更新要】掛金早見表!C46</f>
        <v>98000</v>
      </c>
      <c r="C39" s="87">
        <f>【更新要】掛金早見表!D46</f>
        <v>1754</v>
      </c>
      <c r="D39" s="67">
        <f>【更新要】掛金早見表!F46</f>
        <v>1748</v>
      </c>
      <c r="E39" s="67">
        <f>【更新要】掛金早見表!G46</f>
        <v>3491</v>
      </c>
      <c r="F39" s="67">
        <f>【更新要】掛金早見表!H46</f>
        <v>5228</v>
      </c>
      <c r="G39" s="67">
        <f>【更新要】掛金早見表!I46</f>
        <v>6959</v>
      </c>
      <c r="H39" s="67">
        <f>【更新要】掛金早見表!J46</f>
        <v>8685</v>
      </c>
      <c r="I39" s="67">
        <f>【更新要】掛金早見表!K46</f>
        <v>10404</v>
      </c>
      <c r="J39" s="67">
        <f>【更新要】掛金早見表!L46</f>
        <v>12119</v>
      </c>
      <c r="K39" s="67">
        <f>【更新要】掛金早見表!M46</f>
        <v>13828</v>
      </c>
      <c r="L39" s="67">
        <f>【更新要】掛金早見表!N46</f>
        <v>15531</v>
      </c>
      <c r="M39" s="67">
        <f>【更新要】掛金早見表!O46</f>
        <v>17228</v>
      </c>
      <c r="N39" s="67">
        <f>【更新要】掛金早見表!P46</f>
        <v>18920</v>
      </c>
      <c r="O39" s="67">
        <f>【更新要】掛金早見表!Q46</f>
        <v>20607</v>
      </c>
      <c r="P39" s="69">
        <f t="shared" si="4"/>
        <v>120</v>
      </c>
      <c r="Q39" s="73">
        <f t="shared" si="5"/>
        <v>441</v>
      </c>
    </row>
    <row r="40" spans="1:17" ht="18.75" customHeight="1">
      <c r="A40" s="72">
        <f t="shared" si="3"/>
        <v>6</v>
      </c>
      <c r="B40" s="90">
        <f>【更新要】掛金早見表!C47</f>
        <v>104000</v>
      </c>
      <c r="C40" s="87">
        <f>【更新要】掛金早見表!D47</f>
        <v>1861</v>
      </c>
      <c r="D40" s="67">
        <f>【更新要】掛金早見表!F47</f>
        <v>1855</v>
      </c>
      <c r="E40" s="67">
        <f>【更新要】掛金早見表!G47</f>
        <v>3704</v>
      </c>
      <c r="F40" s="67">
        <f>【更新要】掛金早見表!H47</f>
        <v>5547</v>
      </c>
      <c r="G40" s="67">
        <f>【更新要】掛金早見表!I47</f>
        <v>7383</v>
      </c>
      <c r="H40" s="67">
        <f>【更新要】掛金早見表!J47</f>
        <v>9214</v>
      </c>
      <c r="I40" s="67">
        <f>【更新要】掛金早見表!K47</f>
        <v>11039</v>
      </c>
      <c r="J40" s="67">
        <f>【更新要】掛金早見表!L47</f>
        <v>12858</v>
      </c>
      <c r="K40" s="67">
        <f>【更新要】掛金早見表!M47</f>
        <v>14671</v>
      </c>
      <c r="L40" s="67">
        <f>【更新要】掛金早見表!N47</f>
        <v>16478</v>
      </c>
      <c r="M40" s="67">
        <f>【更新要】掛金早見表!O47</f>
        <v>18279</v>
      </c>
      <c r="N40" s="67">
        <f>【更新要】掛金早見表!P47</f>
        <v>20075</v>
      </c>
      <c r="O40" s="67">
        <f>【更新要】掛金早見表!Q47</f>
        <v>21864</v>
      </c>
      <c r="P40" s="69">
        <f t="shared" si="4"/>
        <v>127</v>
      </c>
      <c r="Q40" s="73">
        <f t="shared" si="5"/>
        <v>468</v>
      </c>
    </row>
    <row r="41" spans="1:17" ht="18.75" customHeight="1">
      <c r="A41" s="72">
        <f t="shared" si="3"/>
        <v>7</v>
      </c>
      <c r="B41" s="90">
        <f>【更新要】掛金早見表!C48</f>
        <v>110000</v>
      </c>
      <c r="C41" s="87">
        <f>【更新要】掛金早見表!D48</f>
        <v>1969</v>
      </c>
      <c r="D41" s="67">
        <f>【更新要】掛金早見表!F48</f>
        <v>1963</v>
      </c>
      <c r="E41" s="67">
        <f>【更新要】掛金早見表!G48</f>
        <v>3919</v>
      </c>
      <c r="F41" s="67">
        <f>【更新要】掛金早見表!H48</f>
        <v>5869</v>
      </c>
      <c r="G41" s="67">
        <f>【更新要】掛金早見表!I48</f>
        <v>7812</v>
      </c>
      <c r="H41" s="67">
        <f>【更新要】掛金早見表!J48</f>
        <v>9749</v>
      </c>
      <c r="I41" s="67">
        <f>【更新要】掛金早見表!K48</f>
        <v>11680</v>
      </c>
      <c r="J41" s="67">
        <f>【更新要】掛金早見表!L48</f>
        <v>13604</v>
      </c>
      <c r="K41" s="67">
        <f>【更新要】掛金早見表!M48</f>
        <v>15522</v>
      </c>
      <c r="L41" s="67">
        <f>【更新要】掛金早見表!N48</f>
        <v>17434</v>
      </c>
      <c r="M41" s="67">
        <f>【更新要】掛金早見表!O48</f>
        <v>19340</v>
      </c>
      <c r="N41" s="67">
        <f>【更新要】掛金早見表!P48</f>
        <v>21240</v>
      </c>
      <c r="O41" s="67">
        <f>【更新要】掛金早見表!Q48</f>
        <v>23133</v>
      </c>
      <c r="P41" s="69">
        <f t="shared" si="4"/>
        <v>134</v>
      </c>
      <c r="Q41" s="73">
        <f t="shared" si="5"/>
        <v>495</v>
      </c>
    </row>
    <row r="42" spans="1:17" ht="18.75" customHeight="1">
      <c r="A42" s="72">
        <f t="shared" si="3"/>
        <v>8</v>
      </c>
      <c r="B42" s="90">
        <f>【更新要】掛金早見表!C49</f>
        <v>118000</v>
      </c>
      <c r="C42" s="87">
        <f>【更新要】掛金早見表!D49</f>
        <v>2112</v>
      </c>
      <c r="D42" s="67">
        <f>【更新要】掛金早見表!F49</f>
        <v>2105</v>
      </c>
      <c r="E42" s="67">
        <f>【更新要】掛金早見表!G49</f>
        <v>4203</v>
      </c>
      <c r="F42" s="67">
        <f>【更新要】掛金早見表!H49</f>
        <v>6295</v>
      </c>
      <c r="G42" s="67">
        <f>【更新要】掛金早見表!I49</f>
        <v>8379</v>
      </c>
      <c r="H42" s="67">
        <f>【更新要】掛金早見表!J49</f>
        <v>10457</v>
      </c>
      <c r="I42" s="67">
        <f>【更新要】掛金早見表!K49</f>
        <v>12528</v>
      </c>
      <c r="J42" s="67">
        <f>【更新要】掛金早見表!L49</f>
        <v>14592</v>
      </c>
      <c r="K42" s="67">
        <f>【更新要】掛金早見表!M49</f>
        <v>16650</v>
      </c>
      <c r="L42" s="67">
        <f>【更新要】掛金早見表!N49</f>
        <v>18701</v>
      </c>
      <c r="M42" s="67">
        <f>【更新要】掛金早見表!O49</f>
        <v>20745</v>
      </c>
      <c r="N42" s="67">
        <f>【更新要】掛金早見表!P49</f>
        <v>22782</v>
      </c>
      <c r="O42" s="67">
        <f>【更新要】掛金早見表!Q49</f>
        <v>24813</v>
      </c>
      <c r="P42" s="69">
        <f t="shared" si="4"/>
        <v>144</v>
      </c>
      <c r="Q42" s="73">
        <f t="shared" si="5"/>
        <v>531</v>
      </c>
    </row>
    <row r="43" spans="1:17" ht="18.75" customHeight="1">
      <c r="A43" s="72">
        <f t="shared" si="3"/>
        <v>9</v>
      </c>
      <c r="B43" s="90">
        <f>【更新要】掛金早見表!C50</f>
        <v>126000</v>
      </c>
      <c r="C43" s="87">
        <f>【更新要】掛金早見表!D50</f>
        <v>2255</v>
      </c>
      <c r="D43" s="67">
        <f>【更新要】掛金早見表!F50</f>
        <v>2248</v>
      </c>
      <c r="E43" s="67">
        <f>【更新要】掛金早見表!G50</f>
        <v>4488</v>
      </c>
      <c r="F43" s="67">
        <f>【更新要】掛金早見表!H50</f>
        <v>6721</v>
      </c>
      <c r="G43" s="67">
        <f>【更新要】掛金早見表!I50</f>
        <v>8947</v>
      </c>
      <c r="H43" s="67">
        <f>【更新要】掛金早見表!J50</f>
        <v>11165</v>
      </c>
      <c r="I43" s="67">
        <f>【更新要】掛金早見表!K50</f>
        <v>13376</v>
      </c>
      <c r="J43" s="67">
        <f>【更新要】掛金早見表!L50</f>
        <v>15580</v>
      </c>
      <c r="K43" s="67">
        <f>【更新要】掛金早見表!M50</f>
        <v>17777</v>
      </c>
      <c r="L43" s="67">
        <f>【更新要】掛金早見表!N50</f>
        <v>19967</v>
      </c>
      <c r="M43" s="67">
        <f>【更新要】掛金早見表!O50</f>
        <v>22149</v>
      </c>
      <c r="N43" s="67">
        <f>【更新要】掛金早見表!P50</f>
        <v>24325</v>
      </c>
      <c r="O43" s="67">
        <f>【更新要】掛金早見表!Q50</f>
        <v>26493</v>
      </c>
      <c r="P43" s="69">
        <f t="shared" si="4"/>
        <v>154</v>
      </c>
      <c r="Q43" s="73">
        <f t="shared" si="5"/>
        <v>567</v>
      </c>
    </row>
    <row r="44" spans="1:17" ht="18.75" customHeight="1">
      <c r="A44" s="72">
        <f t="shared" si="3"/>
        <v>10</v>
      </c>
      <c r="B44" s="90">
        <f>【更新要】掛金早見表!C51</f>
        <v>134000</v>
      </c>
      <c r="C44" s="87">
        <f>【更新要】掛金早見表!D51</f>
        <v>2398</v>
      </c>
      <c r="D44" s="67">
        <f>【更新要】掛金早見表!F51</f>
        <v>2390</v>
      </c>
      <c r="E44" s="67">
        <f>【更新要】掛金早見表!G51</f>
        <v>4773</v>
      </c>
      <c r="F44" s="67">
        <f>【更新要】掛金早見表!H51</f>
        <v>7147</v>
      </c>
      <c r="G44" s="67">
        <f>【更新要】掛金早見表!I51</f>
        <v>9514</v>
      </c>
      <c r="H44" s="67">
        <f>【更新要】掛金早見表!J51</f>
        <v>11873</v>
      </c>
      <c r="I44" s="67">
        <f>【更新要】掛金早見表!K51</f>
        <v>14225</v>
      </c>
      <c r="J44" s="67">
        <f>【更新要】掛金早見表!L51</f>
        <v>16568</v>
      </c>
      <c r="K44" s="67">
        <f>【更新要】掛金早見表!M51</f>
        <v>18904</v>
      </c>
      <c r="L44" s="67">
        <f>【更新要】掛金早見表!N51</f>
        <v>21233</v>
      </c>
      <c r="M44" s="67">
        <f>【更新要】掛金早見表!O51</f>
        <v>23554</v>
      </c>
      <c r="N44" s="67">
        <f>【更新要】掛金早見表!P51</f>
        <v>25867</v>
      </c>
      <c r="O44" s="67">
        <f>【更新要】掛金早見表!Q51</f>
        <v>28173</v>
      </c>
      <c r="P44" s="69">
        <f t="shared" si="4"/>
        <v>163</v>
      </c>
      <c r="Q44" s="73">
        <f t="shared" si="5"/>
        <v>603</v>
      </c>
    </row>
    <row r="45" spans="1:17" ht="18.75" customHeight="1">
      <c r="A45" s="72">
        <f t="shared" si="3"/>
        <v>11</v>
      </c>
      <c r="B45" s="90">
        <f>【更新要】掛金早見表!C52</f>
        <v>142000</v>
      </c>
      <c r="C45" s="87">
        <f>【更新要】掛金早見表!D52</f>
        <v>2541</v>
      </c>
      <c r="D45" s="67">
        <f>【更新要】掛金早見表!F52</f>
        <v>2533</v>
      </c>
      <c r="E45" s="67">
        <f>【更新要】掛金早見表!G52</f>
        <v>5057</v>
      </c>
      <c r="F45" s="67">
        <f>【更新要】掛金早見表!H52</f>
        <v>7573</v>
      </c>
      <c r="G45" s="67">
        <f>【更新要】掛金早見表!I52</f>
        <v>10081</v>
      </c>
      <c r="H45" s="67">
        <f>【更新要】掛金早見表!J52</f>
        <v>12581</v>
      </c>
      <c r="I45" s="67">
        <f>【更新要】掛金早見表!K52</f>
        <v>15073</v>
      </c>
      <c r="J45" s="67">
        <f>【更新要】掛金早見表!L52</f>
        <v>17556</v>
      </c>
      <c r="K45" s="67">
        <f>【更新要】掛金早見表!M52</f>
        <v>20032</v>
      </c>
      <c r="L45" s="67">
        <f>【更新要】掛金早見表!N52</f>
        <v>22499</v>
      </c>
      <c r="M45" s="67">
        <f>【更新要】掛金早見表!O52</f>
        <v>24958</v>
      </c>
      <c r="N45" s="67">
        <f>【更新要】掛金早見表!P52</f>
        <v>27410</v>
      </c>
      <c r="O45" s="67">
        <f>【更新要】掛金早見表!Q52</f>
        <v>29853</v>
      </c>
      <c r="P45" s="69">
        <f t="shared" si="4"/>
        <v>173</v>
      </c>
      <c r="Q45" s="73">
        <f t="shared" si="5"/>
        <v>639</v>
      </c>
    </row>
    <row r="46" spans="1:17" ht="18.75" customHeight="1">
      <c r="A46" s="72">
        <f t="shared" si="3"/>
        <v>12</v>
      </c>
      <c r="B46" s="90">
        <f>【更新要】掛金早見表!C53</f>
        <v>150000</v>
      </c>
      <c r="C46" s="87">
        <f>【更新要】掛金早見表!D53</f>
        <v>2685</v>
      </c>
      <c r="D46" s="67">
        <f>【更新要】掛金早見表!F53</f>
        <v>2676</v>
      </c>
      <c r="E46" s="67">
        <f>【更新要】掛金早見表!G53</f>
        <v>5344</v>
      </c>
      <c r="F46" s="67">
        <f>【更新要】掛金早見表!H53</f>
        <v>8003</v>
      </c>
      <c r="G46" s="67">
        <f>【更新要】掛金早見表!I53</f>
        <v>10653</v>
      </c>
      <c r="H46" s="67">
        <f>【更新要】掛金早見表!J53</f>
        <v>13294</v>
      </c>
      <c r="I46" s="67">
        <f>【更新要】掛金早見表!K53</f>
        <v>15927</v>
      </c>
      <c r="J46" s="67">
        <f>【更新要】掛金早見表!L53</f>
        <v>18551</v>
      </c>
      <c r="K46" s="67">
        <f>【更新要】掛金早見表!M53</f>
        <v>21167</v>
      </c>
      <c r="L46" s="67">
        <f>【更新要】掛金早見表!N53</f>
        <v>23774</v>
      </c>
      <c r="M46" s="67">
        <f>【更新要】掛金早見表!O53</f>
        <v>26373</v>
      </c>
      <c r="N46" s="67">
        <f>【更新要】掛金早見表!P53</f>
        <v>28963</v>
      </c>
      <c r="O46" s="67">
        <f>【更新要】掛金早見表!Q53</f>
        <v>31545</v>
      </c>
      <c r="P46" s="69">
        <f t="shared" si="4"/>
        <v>183</v>
      </c>
      <c r="Q46" s="73">
        <f t="shared" si="5"/>
        <v>675</v>
      </c>
    </row>
    <row r="47" spans="1:17" ht="18.75" customHeight="1">
      <c r="A47" s="72">
        <f t="shared" si="3"/>
        <v>13</v>
      </c>
      <c r="B47" s="90">
        <f>【更新要】掛金早見表!C54</f>
        <v>160000</v>
      </c>
      <c r="C47" s="87">
        <f>【更新要】掛金早見表!D54</f>
        <v>2864</v>
      </c>
      <c r="D47" s="67">
        <f>【更新要】掛金早見表!F54</f>
        <v>2855</v>
      </c>
      <c r="E47" s="67">
        <f>【更新要】掛金早見表!G54</f>
        <v>5700</v>
      </c>
      <c r="F47" s="67">
        <f>【更新要】掛金早見表!H54</f>
        <v>8536</v>
      </c>
      <c r="G47" s="67">
        <f>【更新要】掛金早見表!I54</f>
        <v>11363</v>
      </c>
      <c r="H47" s="67">
        <f>【更新要】掛金早見表!J54</f>
        <v>14180</v>
      </c>
      <c r="I47" s="67">
        <f>【更新要】掛金早見表!K54</f>
        <v>16989</v>
      </c>
      <c r="J47" s="67">
        <f>【更新要】掛金早見表!L54</f>
        <v>19788</v>
      </c>
      <c r="K47" s="67">
        <f>【更新要】掛金早見表!M54</f>
        <v>22578</v>
      </c>
      <c r="L47" s="67">
        <f>【更新要】掛金早見表!N54</f>
        <v>25359</v>
      </c>
      <c r="M47" s="67">
        <f>【更新要】掛金早見表!O54</f>
        <v>28131</v>
      </c>
      <c r="N47" s="67">
        <f>【更新要】掛金早見表!P54</f>
        <v>30894</v>
      </c>
      <c r="O47" s="67">
        <f>【更新要】掛金早見表!Q54</f>
        <v>33648</v>
      </c>
      <c r="P47" s="69">
        <f t="shared" si="4"/>
        <v>195</v>
      </c>
      <c r="Q47" s="73">
        <f t="shared" si="5"/>
        <v>720</v>
      </c>
    </row>
    <row r="48" spans="1:17" ht="18.75" customHeight="1">
      <c r="A48" s="72">
        <f t="shared" si="3"/>
        <v>14</v>
      </c>
      <c r="B48" s="90">
        <f>【更新要】掛金早見表!C55</f>
        <v>170000</v>
      </c>
      <c r="C48" s="87">
        <f>【更新要】掛金早見表!D55</f>
        <v>3043</v>
      </c>
      <c r="D48" s="67">
        <f>【更新要】掛金早見表!F55</f>
        <v>3033</v>
      </c>
      <c r="E48" s="67">
        <f>【更新要】掛金早見表!G55</f>
        <v>6056</v>
      </c>
      <c r="F48" s="67">
        <f>【更新要】掛金早見表!H55</f>
        <v>9070</v>
      </c>
      <c r="G48" s="67">
        <f>【更新要】掛金早見表!I55</f>
        <v>12073</v>
      </c>
      <c r="H48" s="67">
        <f>【更新要】掛金早見表!J55</f>
        <v>15067</v>
      </c>
      <c r="I48" s="67">
        <f>【更新要】掛金早見表!K55</f>
        <v>18051</v>
      </c>
      <c r="J48" s="67">
        <f>【更新要】掛金早見表!L55</f>
        <v>21025</v>
      </c>
      <c r="K48" s="67">
        <f>【更新要】掛金早見表!M55</f>
        <v>23989</v>
      </c>
      <c r="L48" s="67">
        <f>【更新要】掛金早見表!N55</f>
        <v>26944</v>
      </c>
      <c r="M48" s="67">
        <f>【更新要】掛金早見表!O55</f>
        <v>29889</v>
      </c>
      <c r="N48" s="67">
        <f>【更新要】掛金早見表!P55</f>
        <v>32825</v>
      </c>
      <c r="O48" s="67">
        <f>【更新要】掛金早見表!Q55</f>
        <v>35751</v>
      </c>
      <c r="P48" s="69">
        <f t="shared" si="4"/>
        <v>207</v>
      </c>
      <c r="Q48" s="73">
        <f t="shared" si="5"/>
        <v>765</v>
      </c>
    </row>
    <row r="49" spans="1:17" ht="18.75" customHeight="1">
      <c r="A49" s="72">
        <f t="shared" si="3"/>
        <v>15</v>
      </c>
      <c r="B49" s="90">
        <f>【更新要】掛金早見表!C56</f>
        <v>180000</v>
      </c>
      <c r="C49" s="87">
        <f>【更新要】掛金早見表!D56</f>
        <v>3222</v>
      </c>
      <c r="D49" s="67">
        <f>【更新要】掛金早見表!F56</f>
        <v>3211</v>
      </c>
      <c r="E49" s="67">
        <f>【更新要】掛金早見表!G56</f>
        <v>6412</v>
      </c>
      <c r="F49" s="67">
        <f>【更新要】掛金早見表!H56</f>
        <v>9603</v>
      </c>
      <c r="G49" s="67">
        <f>【更新要】掛金早見表!I56</f>
        <v>12783</v>
      </c>
      <c r="H49" s="67">
        <f>【更新要】掛金早見表!J56</f>
        <v>15953</v>
      </c>
      <c r="I49" s="67">
        <f>【更新要】掛金早見表!K56</f>
        <v>19112</v>
      </c>
      <c r="J49" s="67">
        <f>【更新要】掛金早見表!L56</f>
        <v>22262</v>
      </c>
      <c r="K49" s="67">
        <f>【更新要】掛金早見表!M56</f>
        <v>25400</v>
      </c>
      <c r="L49" s="67">
        <f>【更新要】掛金早見表!N56</f>
        <v>28529</v>
      </c>
      <c r="M49" s="67">
        <f>【更新要】掛金早見表!O56</f>
        <v>31647</v>
      </c>
      <c r="N49" s="67">
        <f>【更新要】掛金早見表!P56</f>
        <v>34756</v>
      </c>
      <c r="O49" s="67">
        <f>【更新要】掛金早見表!Q56</f>
        <v>37854</v>
      </c>
      <c r="P49" s="69">
        <f t="shared" si="4"/>
        <v>220</v>
      </c>
      <c r="Q49" s="73">
        <f t="shared" si="5"/>
        <v>810</v>
      </c>
    </row>
    <row r="50" spans="1:17" ht="18.75" customHeight="1">
      <c r="A50" s="72">
        <f t="shared" si="3"/>
        <v>16</v>
      </c>
      <c r="B50" s="90">
        <f>【更新要】掛金早見表!C57</f>
        <v>190000</v>
      </c>
      <c r="C50" s="87">
        <f>【更新要】掛金早見表!D57</f>
        <v>3401</v>
      </c>
      <c r="D50" s="67">
        <f>【更新要】掛金早見表!F57</f>
        <v>3390</v>
      </c>
      <c r="E50" s="67">
        <f>【更新要】掛金早見表!G57</f>
        <v>6769</v>
      </c>
      <c r="F50" s="67">
        <f>【更新要】掛金早見表!H57</f>
        <v>10137</v>
      </c>
      <c r="G50" s="67">
        <f>【更新要】掛金早見表!I57</f>
        <v>13493</v>
      </c>
      <c r="H50" s="67">
        <f>【更新要】掛金早見表!J57</f>
        <v>16839</v>
      </c>
      <c r="I50" s="67">
        <f>【更新要】掛金早見表!K57</f>
        <v>20174</v>
      </c>
      <c r="J50" s="67">
        <f>【更新要】掛金早見表!L57</f>
        <v>23498</v>
      </c>
      <c r="K50" s="67">
        <f>【更新要】掛金早見表!M57</f>
        <v>26812</v>
      </c>
      <c r="L50" s="67">
        <f>【更新要】掛金早見表!N57</f>
        <v>30114</v>
      </c>
      <c r="M50" s="67">
        <f>【更新要】掛金早見表!O57</f>
        <v>33406</v>
      </c>
      <c r="N50" s="67">
        <f>【更新要】掛金早見表!P57</f>
        <v>36686</v>
      </c>
      <c r="O50" s="67">
        <f>【更新要】掛金早見表!Q57</f>
        <v>39957</v>
      </c>
      <c r="P50" s="69">
        <f t="shared" si="4"/>
        <v>232</v>
      </c>
      <c r="Q50" s="73">
        <f t="shared" si="5"/>
        <v>855</v>
      </c>
    </row>
    <row r="51" spans="1:17" ht="18.75" customHeight="1">
      <c r="A51" s="72">
        <f t="shared" si="3"/>
        <v>17</v>
      </c>
      <c r="B51" s="90">
        <f>【更新要】掛金早見表!C58</f>
        <v>200000</v>
      </c>
      <c r="C51" s="87">
        <f>【更新要】掛金早見表!D58</f>
        <v>3580</v>
      </c>
      <c r="D51" s="67">
        <f>【更新要】掛金早見表!F58</f>
        <v>3568</v>
      </c>
      <c r="E51" s="67">
        <f>【更新要】掛金早見表!G58</f>
        <v>7125</v>
      </c>
      <c r="F51" s="67">
        <f>【更新要】掛金早見表!H58</f>
        <v>10670</v>
      </c>
      <c r="G51" s="67">
        <f>【更新要】掛金早見表!I58</f>
        <v>14204</v>
      </c>
      <c r="H51" s="67">
        <f>【更新要】掛金早見表!J58</f>
        <v>17726</v>
      </c>
      <c r="I51" s="67">
        <f>【更新要】掛金早見表!K58</f>
        <v>21236</v>
      </c>
      <c r="J51" s="67">
        <f>【更新要】掛金早見表!L58</f>
        <v>24735</v>
      </c>
      <c r="K51" s="67">
        <f>【更新要】掛金早見表!M58</f>
        <v>28223</v>
      </c>
      <c r="L51" s="67">
        <f>【更新要】掛金早見表!N58</f>
        <v>31699</v>
      </c>
      <c r="M51" s="67">
        <f>【更新要】掛金早見表!O58</f>
        <v>35164</v>
      </c>
      <c r="N51" s="67">
        <f>【更新要】掛金早見表!P58</f>
        <v>38617</v>
      </c>
      <c r="O51" s="67">
        <f>【更新要】掛金早見表!Q58</f>
        <v>42060</v>
      </c>
      <c r="P51" s="69">
        <f t="shared" si="4"/>
        <v>244</v>
      </c>
      <c r="Q51" s="73">
        <f t="shared" si="5"/>
        <v>900</v>
      </c>
    </row>
    <row r="52" spans="1:17" ht="18.75" customHeight="1">
      <c r="A52" s="72">
        <f t="shared" si="3"/>
        <v>18</v>
      </c>
      <c r="B52" s="90">
        <f>【更新要】掛金早見表!C59</f>
        <v>220000</v>
      </c>
      <c r="C52" s="87">
        <f>【更新要】掛金早見表!D59</f>
        <v>3938</v>
      </c>
      <c r="D52" s="67">
        <f>【更新要】掛金早見表!F59</f>
        <v>3925</v>
      </c>
      <c r="E52" s="67">
        <f>【更新要】掛金早見表!G59</f>
        <v>7837</v>
      </c>
      <c r="F52" s="67">
        <f>【更新要】掛金早見表!H59</f>
        <v>11737</v>
      </c>
      <c r="G52" s="67">
        <f>【更新要】掛金早見表!I59</f>
        <v>15624</v>
      </c>
      <c r="H52" s="67">
        <f>【更新要】掛金早見表!J59</f>
        <v>19498</v>
      </c>
      <c r="I52" s="67">
        <f>【更新要】掛金早見表!K59</f>
        <v>23360</v>
      </c>
      <c r="J52" s="67">
        <f>【更新要】掛金早見表!L59</f>
        <v>27209</v>
      </c>
      <c r="K52" s="67">
        <f>【更新要】掛金早見表!M59</f>
        <v>31045</v>
      </c>
      <c r="L52" s="67">
        <f>【更新要】掛金早見表!N59</f>
        <v>34869</v>
      </c>
      <c r="M52" s="67">
        <f>【更新要】掛金早見表!O59</f>
        <v>38680</v>
      </c>
      <c r="N52" s="67">
        <f>【更新要】掛金早見表!P59</f>
        <v>42479</v>
      </c>
      <c r="O52" s="67">
        <f>【更新要】掛金早見表!Q59</f>
        <v>46266</v>
      </c>
      <c r="P52" s="69">
        <f t="shared" si="4"/>
        <v>268</v>
      </c>
      <c r="Q52" s="73">
        <f t="shared" si="5"/>
        <v>990</v>
      </c>
    </row>
    <row r="53" spans="1:17" ht="18.75" customHeight="1">
      <c r="A53" s="72">
        <f t="shared" si="3"/>
        <v>19</v>
      </c>
      <c r="B53" s="90">
        <f>【更新要】掛金早見表!C60</f>
        <v>240000</v>
      </c>
      <c r="C53" s="87">
        <f>【更新要】掛金早見表!D60</f>
        <v>4296</v>
      </c>
      <c r="D53" s="67">
        <f>【更新要】掛金早見表!F60</f>
        <v>4282</v>
      </c>
      <c r="E53" s="67">
        <f>【更新要】掛金早見表!G60</f>
        <v>8550</v>
      </c>
      <c r="F53" s="67">
        <f>【更新要】掛金早見表!H60</f>
        <v>12804</v>
      </c>
      <c r="G53" s="67">
        <f>【更新要】掛金早見表!I60</f>
        <v>17044</v>
      </c>
      <c r="H53" s="67">
        <f>【更新要】掛金早見表!J60</f>
        <v>21271</v>
      </c>
      <c r="I53" s="67">
        <f>【更新要】掛金早見表!K60</f>
        <v>25483</v>
      </c>
      <c r="J53" s="67">
        <f>【更新要】掛金早見表!L60</f>
        <v>29682</v>
      </c>
      <c r="K53" s="67">
        <f>【更新要】掛金早見表!M60</f>
        <v>33867</v>
      </c>
      <c r="L53" s="67">
        <f>【更新要】掛金早見表!N60</f>
        <v>38039</v>
      </c>
      <c r="M53" s="67">
        <f>【更新要】掛金早見表!O60</f>
        <v>42197</v>
      </c>
      <c r="N53" s="67">
        <f>【更新要】掛金早見表!P60</f>
        <v>46341</v>
      </c>
      <c r="O53" s="67">
        <f>【更新要】掛金早見表!Q60</f>
        <v>50472</v>
      </c>
      <c r="P53" s="69">
        <f t="shared" si="4"/>
        <v>293</v>
      </c>
      <c r="Q53" s="73">
        <f t="shared" si="5"/>
        <v>1080</v>
      </c>
    </row>
    <row r="54" spans="1:17" ht="18.75" customHeight="1">
      <c r="A54" s="72">
        <f t="shared" si="3"/>
        <v>20</v>
      </c>
      <c r="B54" s="90">
        <f>【更新要】掛金早見表!C61</f>
        <v>260000</v>
      </c>
      <c r="C54" s="87">
        <f>【更新要】掛金早見表!D61</f>
        <v>4654</v>
      </c>
      <c r="D54" s="67">
        <f>【更新要】掛金早見表!F61</f>
        <v>4639</v>
      </c>
      <c r="E54" s="67">
        <f>【更新要】掛金早見表!G61</f>
        <v>9262</v>
      </c>
      <c r="F54" s="67">
        <f>【更新要】掛金早見表!H61</f>
        <v>13871</v>
      </c>
      <c r="G54" s="67">
        <f>【更新要】掛金早見表!I61</f>
        <v>18465</v>
      </c>
      <c r="H54" s="67">
        <f>【更新要】掛金早見表!J61</f>
        <v>23043</v>
      </c>
      <c r="I54" s="67">
        <f>【更新要】掛金早見表!K61</f>
        <v>27607</v>
      </c>
      <c r="J54" s="67">
        <f>【更新要】掛金早見表!L61</f>
        <v>32156</v>
      </c>
      <c r="K54" s="67">
        <f>【更新要】掛金早見表!M61</f>
        <v>36689</v>
      </c>
      <c r="L54" s="67">
        <f>【更新要】掛金早見表!N61</f>
        <v>41209</v>
      </c>
      <c r="M54" s="67">
        <f>【更新要】掛金早見表!O61</f>
        <v>45713</v>
      </c>
      <c r="N54" s="67">
        <f>【更新要】掛金早見表!P61</f>
        <v>50203</v>
      </c>
      <c r="O54" s="67">
        <f>【更新要】掛金早見表!Q61</f>
        <v>54678</v>
      </c>
      <c r="P54" s="69">
        <f t="shared" si="4"/>
        <v>317</v>
      </c>
      <c r="Q54" s="73">
        <f t="shared" si="5"/>
        <v>1170</v>
      </c>
    </row>
    <row r="55" spans="1:17" ht="18.75" customHeight="1">
      <c r="A55" s="72">
        <f t="shared" si="3"/>
        <v>21</v>
      </c>
      <c r="B55" s="90">
        <f>【更新要】掛金早見表!C62</f>
        <v>280000</v>
      </c>
      <c r="C55" s="87">
        <f>【更新要】掛金早見表!D62</f>
        <v>5012</v>
      </c>
      <c r="D55" s="67">
        <f>【更新要】掛金早見表!F62</f>
        <v>4996</v>
      </c>
      <c r="E55" s="67">
        <f>【更新要】掛金早見表!G62</f>
        <v>9975</v>
      </c>
      <c r="F55" s="67">
        <f>【更新要】掛金早見表!H62</f>
        <v>14938</v>
      </c>
      <c r="G55" s="67">
        <f>【更新要】掛金早見表!I62</f>
        <v>19885</v>
      </c>
      <c r="H55" s="67">
        <f>【更新要】掛金早見表!J62</f>
        <v>24816</v>
      </c>
      <c r="I55" s="67">
        <f>【更新要】掛金早見表!K62</f>
        <v>29730</v>
      </c>
      <c r="J55" s="67">
        <f>【更新要】掛金早見表!L62</f>
        <v>34629</v>
      </c>
      <c r="K55" s="67">
        <f>【更新要】掛金早見表!M62</f>
        <v>39512</v>
      </c>
      <c r="L55" s="67">
        <f>【更新要】掛金早見表!N62</f>
        <v>44378</v>
      </c>
      <c r="M55" s="67">
        <f>【更新要】掛金早見表!O62</f>
        <v>49229</v>
      </c>
      <c r="N55" s="67">
        <f>【更新要】掛金早見表!P62</f>
        <v>54064</v>
      </c>
      <c r="O55" s="67">
        <f>【更新要】掛金早見表!Q62</f>
        <v>58883</v>
      </c>
      <c r="P55" s="69">
        <f t="shared" si="4"/>
        <v>342</v>
      </c>
      <c r="Q55" s="73">
        <f t="shared" si="5"/>
        <v>1261</v>
      </c>
    </row>
    <row r="56" spans="1:17" ht="18.75" customHeight="1">
      <c r="A56" s="72">
        <f t="shared" si="3"/>
        <v>22</v>
      </c>
      <c r="B56" s="90">
        <f>【更新要】掛金早見表!C63</f>
        <v>300000</v>
      </c>
      <c r="C56" s="87">
        <f>【更新要】掛金早見表!D63</f>
        <v>5370</v>
      </c>
      <c r="D56" s="67">
        <f>【更新要】掛金早見表!F63</f>
        <v>5352</v>
      </c>
      <c r="E56" s="67">
        <f>【更新要】掛金早見表!G63</f>
        <v>10687</v>
      </c>
      <c r="F56" s="67">
        <f>【更新要】掛金早見表!H63</f>
        <v>16005</v>
      </c>
      <c r="G56" s="67">
        <f>【更新要】掛金早見表!I63</f>
        <v>21305</v>
      </c>
      <c r="H56" s="67">
        <f>【更新要】掛金早見表!J63</f>
        <v>26588</v>
      </c>
      <c r="I56" s="67">
        <f>【更新要】掛金早見表!K63</f>
        <v>31854</v>
      </c>
      <c r="J56" s="67">
        <f>【更新要】掛金早見表!L63</f>
        <v>37103</v>
      </c>
      <c r="K56" s="67">
        <f>【更新要】掛金早見表!M63</f>
        <v>42334</v>
      </c>
      <c r="L56" s="67">
        <f>【更新要】掛金早見表!N63</f>
        <v>47548</v>
      </c>
      <c r="M56" s="67">
        <f>【更新要】掛金早見表!O63</f>
        <v>52746</v>
      </c>
      <c r="N56" s="67">
        <f>【更新要】掛金早見表!P63</f>
        <v>57926</v>
      </c>
      <c r="O56" s="67">
        <f>【更新要】掛金早見表!Q63</f>
        <v>63089</v>
      </c>
      <c r="P56" s="69">
        <f t="shared" si="4"/>
        <v>366</v>
      </c>
      <c r="Q56" s="73">
        <f t="shared" si="5"/>
        <v>1351</v>
      </c>
    </row>
    <row r="57" spans="1:17" ht="18.75" customHeight="1">
      <c r="A57" s="72">
        <f t="shared" si="3"/>
        <v>23</v>
      </c>
      <c r="B57" s="90">
        <f>【更新要】掛金早見表!C64</f>
        <v>320000</v>
      </c>
      <c r="C57" s="87">
        <f>【更新要】掛金早見表!D64</f>
        <v>5728</v>
      </c>
      <c r="D57" s="67">
        <f>【更新要】掛金早見表!F64</f>
        <v>5709</v>
      </c>
      <c r="E57" s="67">
        <f>【更新要】掛金早見表!G64</f>
        <v>11400</v>
      </c>
      <c r="F57" s="67">
        <f>【更新要】掛金早見表!H64</f>
        <v>17072</v>
      </c>
      <c r="G57" s="67">
        <f>【更新要】掛金早見表!I64</f>
        <v>22726</v>
      </c>
      <c r="H57" s="67">
        <f>【更新要】掛金早見表!J64</f>
        <v>28361</v>
      </c>
      <c r="I57" s="67">
        <f>【更新要】掛金早見表!K64</f>
        <v>33978</v>
      </c>
      <c r="J57" s="67">
        <f>【更新要】掛金早見表!L64</f>
        <v>39576</v>
      </c>
      <c r="K57" s="67">
        <f>【更新要】掛金早見表!M64</f>
        <v>45156</v>
      </c>
      <c r="L57" s="67">
        <f>【更新要】掛金早見表!N64</f>
        <v>50718</v>
      </c>
      <c r="M57" s="67">
        <f>【更新要】掛金早見表!O64</f>
        <v>56262</v>
      </c>
      <c r="N57" s="67">
        <f>【更新要】掛金早見表!P64</f>
        <v>61788</v>
      </c>
      <c r="O57" s="67">
        <f>【更新要】掛金早見表!Q64</f>
        <v>67295</v>
      </c>
      <c r="P57" s="69">
        <f t="shared" si="4"/>
        <v>390</v>
      </c>
      <c r="Q57" s="73">
        <f t="shared" si="5"/>
        <v>1441</v>
      </c>
    </row>
    <row r="58" spans="1:17" ht="18.75" customHeight="1" thickBot="1">
      <c r="A58" s="100">
        <f t="shared" ref="A58:A60" si="6">A28</f>
        <v>24</v>
      </c>
      <c r="B58" s="101">
        <f>【更新要】掛金早見表!C65</f>
        <v>340000</v>
      </c>
      <c r="C58" s="102">
        <f>【更新要】掛金早見表!D65</f>
        <v>6086</v>
      </c>
      <c r="D58" s="103">
        <f>【更新要】掛金早見表!F65</f>
        <v>6066</v>
      </c>
      <c r="E58" s="103">
        <f>【更新要】掛金早見表!G65</f>
        <v>12112</v>
      </c>
      <c r="F58" s="103">
        <f>【更新要】掛金早見表!H65</f>
        <v>18139</v>
      </c>
      <c r="G58" s="103">
        <f>【更新要】掛金早見表!I65</f>
        <v>24146</v>
      </c>
      <c r="H58" s="103">
        <f>【更新要】掛金早見表!J65</f>
        <v>30133</v>
      </c>
      <c r="I58" s="103">
        <f>【更新要】掛金早見表!K65</f>
        <v>36101</v>
      </c>
      <c r="J58" s="103">
        <f>【更新要】掛金早見表!L65</f>
        <v>42050</v>
      </c>
      <c r="K58" s="103">
        <f>【更新要】掛金早見表!M65</f>
        <v>47978</v>
      </c>
      <c r="L58" s="103">
        <f>【更新要】掛金早見表!N65</f>
        <v>53888</v>
      </c>
      <c r="M58" s="103">
        <f>【更新要】掛金早見表!O65</f>
        <v>59778</v>
      </c>
      <c r="N58" s="103">
        <f>【更新要】掛金早見表!P65</f>
        <v>65649</v>
      </c>
      <c r="O58" s="103">
        <f>【更新要】掛金早見表!Q65</f>
        <v>71501</v>
      </c>
      <c r="P58" s="104">
        <f t="shared" si="4"/>
        <v>415</v>
      </c>
      <c r="Q58" s="105">
        <f t="shared" si="5"/>
        <v>1531</v>
      </c>
    </row>
    <row r="59" spans="1:17" ht="18.75" customHeight="1" thickTop="1">
      <c r="A59" s="106">
        <f t="shared" si="6"/>
        <v>25</v>
      </c>
      <c r="B59" s="107">
        <f>【更新要】掛金早見表!C66</f>
        <v>360000</v>
      </c>
      <c r="C59" s="108">
        <f>【更新要】掛金早見表!D66</f>
        <v>6444</v>
      </c>
      <c r="D59" s="109">
        <f>【更新要】掛金早見表!F66</f>
        <v>6423</v>
      </c>
      <c r="E59" s="109">
        <f>【更新要】掛金早見表!G66</f>
        <v>12825</v>
      </c>
      <c r="F59" s="109">
        <f>【更新要】掛金早見表!H66</f>
        <v>19206</v>
      </c>
      <c r="G59" s="109">
        <f>【更新要】掛金早見表!I66</f>
        <v>25566</v>
      </c>
      <c r="H59" s="109">
        <f>【更新要】掛金早見表!J66</f>
        <v>31906</v>
      </c>
      <c r="I59" s="109">
        <f>【更新要】掛金早見表!K66</f>
        <v>38225</v>
      </c>
      <c r="J59" s="109">
        <f>【更新要】掛金早見表!L66</f>
        <v>44523</v>
      </c>
      <c r="K59" s="109">
        <f>【更新要】掛金早見表!M66</f>
        <v>50801</v>
      </c>
      <c r="L59" s="109">
        <f>【更新要】掛金早見表!N66</f>
        <v>57058</v>
      </c>
      <c r="M59" s="109">
        <f>【更新要】掛金早見表!O66</f>
        <v>63295</v>
      </c>
      <c r="N59" s="109">
        <f>【更新要】掛金早見表!P66</f>
        <v>69511</v>
      </c>
      <c r="O59" s="109">
        <f>【更新要】掛金早見表!Q66</f>
        <v>75707</v>
      </c>
      <c r="P59" s="110">
        <f t="shared" si="4"/>
        <v>439</v>
      </c>
      <c r="Q59" s="111">
        <f t="shared" si="5"/>
        <v>1621</v>
      </c>
    </row>
    <row r="60" spans="1:17" ht="18.75" customHeight="1" thickBot="1">
      <c r="A60" s="74">
        <f t="shared" si="6"/>
        <v>26</v>
      </c>
      <c r="B60" s="91">
        <f>【更新要】掛金早見表!C67</f>
        <v>380000</v>
      </c>
      <c r="C60" s="88">
        <f>【更新要】掛金早見表!D67</f>
        <v>6802</v>
      </c>
      <c r="D60" s="75">
        <f>【更新要】掛金早見表!F67</f>
        <v>6780</v>
      </c>
      <c r="E60" s="75">
        <f>【更新要】掛金早見表!G67</f>
        <v>13537</v>
      </c>
      <c r="F60" s="75">
        <f>【更新要】掛金早見表!H67</f>
        <v>20273</v>
      </c>
      <c r="G60" s="75">
        <f>【更新要】掛金早見表!I67</f>
        <v>26987</v>
      </c>
      <c r="H60" s="75">
        <f>【更新要】掛金早見表!J67</f>
        <v>33679</v>
      </c>
      <c r="I60" s="75">
        <f>【更新要】掛金早見表!K67</f>
        <v>40348</v>
      </c>
      <c r="J60" s="75">
        <f>【更新要】掛金早見表!L67</f>
        <v>46997</v>
      </c>
      <c r="K60" s="75">
        <f>【更新要】掛金早見表!M67</f>
        <v>53623</v>
      </c>
      <c r="L60" s="75">
        <f>【更新要】掛金早見表!N67</f>
        <v>60228</v>
      </c>
      <c r="M60" s="75">
        <f>【更新要】掛金早見表!O67</f>
        <v>66811</v>
      </c>
      <c r="N60" s="75">
        <f>【更新要】掛金早見表!P67</f>
        <v>73373</v>
      </c>
      <c r="O60" s="75">
        <f>【更新要】掛金早見表!Q67</f>
        <v>79913</v>
      </c>
      <c r="P60" s="76">
        <f t="shared" si="4"/>
        <v>464</v>
      </c>
      <c r="Q60" s="77">
        <f t="shared" si="5"/>
        <v>1711</v>
      </c>
    </row>
  </sheetData>
  <mergeCells count="6">
    <mergeCell ref="C3:O3"/>
    <mergeCell ref="B3:B4"/>
    <mergeCell ref="A3:A4"/>
    <mergeCell ref="A33:A34"/>
    <mergeCell ref="B33:B34"/>
    <mergeCell ref="C33:O33"/>
  </mergeCells>
  <phoneticPr fontId="2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HZ114"/>
  <sheetViews>
    <sheetView workbookViewId="0">
      <selection activeCell="H19" sqref="H19"/>
    </sheetView>
  </sheetViews>
  <sheetFormatPr defaultRowHeight="13.2"/>
  <cols>
    <col min="1" max="20" width="9" style="12" customWidth="1"/>
    <col min="21" max="21" width="14.21875" style="12" customWidth="1"/>
    <col min="22" max="22" width="9" style="12" customWidth="1"/>
    <col min="23" max="23" width="18.33203125" style="13" customWidth="1"/>
    <col min="24" max="234" width="9" style="12"/>
  </cols>
  <sheetData>
    <row r="3" spans="1:4">
      <c r="A3" s="224" t="s">
        <v>50</v>
      </c>
      <c r="B3" s="224"/>
      <c r="C3" s="3" t="s">
        <v>47</v>
      </c>
      <c r="D3" s="3" t="s">
        <v>48</v>
      </c>
    </row>
    <row r="4" spans="1:4">
      <c r="A4" s="3">
        <v>1</v>
      </c>
      <c r="B4" s="3" t="s">
        <v>8</v>
      </c>
      <c r="C4" s="3">
        <v>2</v>
      </c>
      <c r="D4" s="3">
        <v>2</v>
      </c>
    </row>
    <row r="5" spans="1:4">
      <c r="A5" s="3">
        <v>2</v>
      </c>
      <c r="B5" s="3" t="s">
        <v>8</v>
      </c>
      <c r="C5" s="3">
        <v>0</v>
      </c>
      <c r="D5" s="3">
        <v>0</v>
      </c>
    </row>
    <row r="6" spans="1:4">
      <c r="A6" s="3">
        <v>3</v>
      </c>
      <c r="B6" s="3" t="s">
        <v>8</v>
      </c>
      <c r="C6" s="3">
        <v>6</v>
      </c>
      <c r="D6" s="3">
        <v>12</v>
      </c>
    </row>
    <row r="7" spans="1:4">
      <c r="A7" s="3">
        <v>4</v>
      </c>
      <c r="B7" s="3" t="s">
        <v>8</v>
      </c>
      <c r="C7" s="3">
        <v>5</v>
      </c>
      <c r="D7" s="3">
        <v>11</v>
      </c>
    </row>
    <row r="8" spans="1:4">
      <c r="A8" s="3">
        <v>5</v>
      </c>
      <c r="B8" s="3" t="s">
        <v>8</v>
      </c>
      <c r="C8" s="3">
        <v>4</v>
      </c>
      <c r="D8" s="3">
        <v>10</v>
      </c>
    </row>
    <row r="9" spans="1:4">
      <c r="A9" s="3">
        <v>6</v>
      </c>
      <c r="B9" s="3" t="s">
        <v>8</v>
      </c>
      <c r="C9" s="3">
        <v>3</v>
      </c>
      <c r="D9" s="3">
        <v>9</v>
      </c>
    </row>
    <row r="10" spans="1:4">
      <c r="A10" s="3">
        <v>7</v>
      </c>
      <c r="B10" s="3" t="s">
        <v>8</v>
      </c>
      <c r="C10" s="3">
        <v>2</v>
      </c>
      <c r="D10" s="3">
        <v>8</v>
      </c>
    </row>
    <row r="11" spans="1:4">
      <c r="A11" s="3">
        <v>8</v>
      </c>
      <c r="B11" s="3" t="s">
        <v>8</v>
      </c>
      <c r="C11" s="3">
        <v>0</v>
      </c>
      <c r="D11" s="3">
        <v>7</v>
      </c>
    </row>
    <row r="12" spans="1:4">
      <c r="A12" s="3">
        <v>9</v>
      </c>
      <c r="B12" s="3" t="s">
        <v>8</v>
      </c>
      <c r="C12" s="3">
        <v>6</v>
      </c>
      <c r="D12" s="3">
        <v>6</v>
      </c>
    </row>
    <row r="13" spans="1:4">
      <c r="A13" s="3">
        <v>10</v>
      </c>
      <c r="B13" s="3" t="s">
        <v>8</v>
      </c>
      <c r="C13" s="3">
        <v>5</v>
      </c>
      <c r="D13" s="3">
        <v>5</v>
      </c>
    </row>
    <row r="14" spans="1:4">
      <c r="A14" s="3">
        <v>11</v>
      </c>
      <c r="B14" s="3" t="s">
        <v>9</v>
      </c>
      <c r="C14" s="3">
        <v>4</v>
      </c>
      <c r="D14" s="3">
        <v>4</v>
      </c>
    </row>
    <row r="15" spans="1:4">
      <c r="A15" s="3">
        <v>12</v>
      </c>
      <c r="B15" s="3" t="s">
        <v>49</v>
      </c>
      <c r="C15" s="3">
        <v>3</v>
      </c>
      <c r="D15" s="3">
        <v>3</v>
      </c>
    </row>
    <row r="16" spans="1:4">
      <c r="A16" s="37"/>
      <c r="D16" s="38"/>
    </row>
    <row r="17" spans="1:234">
      <c r="A17" s="3"/>
      <c r="B17" s="3" t="s">
        <v>4</v>
      </c>
      <c r="C17" s="3" t="s">
        <v>46</v>
      </c>
      <c r="D17" s="38"/>
    </row>
    <row r="18" spans="1:234">
      <c r="A18" s="3"/>
      <c r="B18" s="3">
        <f>IF(試算シート!M4&gt;=【更新要】掛金早見表!H1,【更新要】掛金早見表!H1,試算シート!M4)</f>
        <v>340000</v>
      </c>
      <c r="C18" s="39">
        <f>VLOOKUP(B18,【更新要】掛金早見表!$U$6:$AA$39,3,1)</f>
        <v>340000</v>
      </c>
      <c r="D18" s="38"/>
    </row>
    <row r="19" spans="1:234">
      <c r="A19" s="3"/>
      <c r="B19" s="3"/>
      <c r="C19" s="40">
        <f>試算シート!N15</f>
        <v>6</v>
      </c>
      <c r="D19" s="41"/>
    </row>
    <row r="20" spans="1:234" ht="13.8" thickBot="1"/>
    <row r="21" spans="1:234" ht="13.8" thickBot="1">
      <c r="A21" s="42"/>
    </row>
    <row r="22" spans="1:234">
      <c r="A22" s="1">
        <f>B30</f>
        <v>44</v>
      </c>
      <c r="B22" s="1">
        <f>DATEDIF(試算シート!M5,試算シート!M6,"Y")</f>
        <v>44</v>
      </c>
    </row>
    <row r="23" spans="1:234" ht="13.8" thickBot="1">
      <c r="A23" s="1" t="str">
        <f>IF(A22&gt;54,"○","×")</f>
        <v>×</v>
      </c>
      <c r="B23" s="1" t="str">
        <f>IF(B22&gt;14,"○","×")</f>
        <v>○</v>
      </c>
      <c r="C23" s="12" t="str">
        <f>A23&amp;B23</f>
        <v>×○</v>
      </c>
    </row>
    <row r="24" spans="1:234" ht="13.8" thickBot="1">
      <c r="A24" s="42" t="str">
        <f>IF(試算シート!Q6="",IF(AND(A22&gt;39,A22&lt;65),"1",""),IF(AND(A26&gt;39,A26&lt;65),"1",""))</f>
        <v>1</v>
      </c>
    </row>
    <row r="26" spans="1:234">
      <c r="A26" s="12">
        <f>DATEDIF(試算シート!M5,試算シート!M6,"Y")</f>
        <v>44</v>
      </c>
    </row>
    <row r="28" spans="1:234" ht="13.8" thickBot="1"/>
    <row r="29" spans="1:234" ht="14.4" thickTop="1" thickBot="1">
      <c r="A29" s="43">
        <f>IF(試算シート!Q6="",試算シート!M6+1,試算シート!Q6)</f>
        <v>45748</v>
      </c>
      <c r="B29" s="44">
        <f>EOMONTH(A29,0)</f>
        <v>45777</v>
      </c>
      <c r="C29" s="45">
        <f>EOMONTH(A29,1)</f>
        <v>45808</v>
      </c>
      <c r="D29" s="45">
        <f>EOMONTH(A29,2)</f>
        <v>45838</v>
      </c>
      <c r="E29" s="45">
        <f>EOMONTH(A29,3)</f>
        <v>45869</v>
      </c>
      <c r="F29" s="45">
        <f>EOMONTH(A29,4)</f>
        <v>45900</v>
      </c>
      <c r="G29" s="45">
        <f>EOMONTH(A29,5)</f>
        <v>45930</v>
      </c>
      <c r="H29" s="45">
        <f>EOMONTH(A29,6)</f>
        <v>45961</v>
      </c>
      <c r="I29" s="45">
        <f>EOMONTH(A29,7)</f>
        <v>45991</v>
      </c>
      <c r="J29" s="45">
        <f>EOMONTH(A29,8)</f>
        <v>46022</v>
      </c>
      <c r="K29" s="45">
        <f>EOMONTH(A29,9)</f>
        <v>46053</v>
      </c>
      <c r="L29" s="45">
        <f>EOMONTH(A29,10)</f>
        <v>46081</v>
      </c>
      <c r="M29" s="45">
        <f>EOMONTH(A29,11)</f>
        <v>46112</v>
      </c>
      <c r="N29" s="45">
        <f>EOMONTH(A29,12)</f>
        <v>46142</v>
      </c>
      <c r="O29" s="247" t="s">
        <v>102</v>
      </c>
      <c r="P29" s="247"/>
      <c r="Q29" s="248"/>
      <c r="R29" s="249">
        <f>MONTH(試算シート!M6)</f>
        <v>3</v>
      </c>
      <c r="S29" s="250"/>
      <c r="T29" s="251"/>
      <c r="U29" s="252"/>
      <c r="W29" s="12"/>
      <c r="HZ29"/>
    </row>
    <row r="30" spans="1:234">
      <c r="A30" s="1"/>
      <c r="B30" s="46">
        <f>DATEDIF(試算シート!$M$5,B29+1,"Y")</f>
        <v>44</v>
      </c>
      <c r="C30" s="46">
        <f>DATEDIF(試算シート!$M$5,C29+1,"Y")</f>
        <v>45</v>
      </c>
      <c r="D30" s="46">
        <f>DATEDIF(試算シート!$M$5,D29+1,"Y")</f>
        <v>45</v>
      </c>
      <c r="E30" s="46">
        <f>DATEDIF(試算シート!$M$5,E29+1,"Y")</f>
        <v>45</v>
      </c>
      <c r="F30" s="46">
        <f>DATEDIF(試算シート!$M$5,F29+1,"Y")</f>
        <v>45</v>
      </c>
      <c r="G30" s="46">
        <f>DATEDIF(試算シート!$M$5,G29+1,"Y")</f>
        <v>45</v>
      </c>
      <c r="H30" s="46">
        <f>DATEDIF(試算シート!$M$5,H29+1,"Y")</f>
        <v>45</v>
      </c>
      <c r="I30" s="46">
        <f>DATEDIF(試算シート!$M$5,I29+1,"Y")</f>
        <v>45</v>
      </c>
      <c r="J30" s="46">
        <f>DATEDIF(試算シート!$M$5,J29+1,"Y")</f>
        <v>45</v>
      </c>
      <c r="K30" s="46">
        <f>DATEDIF(試算シート!$M$5,K29+1,"Y")</f>
        <v>45</v>
      </c>
      <c r="L30" s="46">
        <f>DATEDIF(試算シート!$M$5,L29+1,"Y")</f>
        <v>45</v>
      </c>
      <c r="M30" s="46">
        <f>DATEDIF(試算シート!$M$5,M29+1,"Y")</f>
        <v>45</v>
      </c>
      <c r="N30" s="46">
        <f>DATEDIF(試算シート!$M$5,N29+1,"Y")</f>
        <v>45</v>
      </c>
      <c r="Q30" s="13"/>
      <c r="W30" s="12"/>
      <c r="HZ30"/>
    </row>
    <row r="31" spans="1:234">
      <c r="A31" s="1"/>
      <c r="B31" s="47">
        <f t="shared" ref="B31:N31" si="0">IF(AND(B30&gt;=40,B30&lt;=64),1,0)</f>
        <v>1</v>
      </c>
      <c r="C31" s="47">
        <f t="shared" si="0"/>
        <v>1</v>
      </c>
      <c r="D31" s="47">
        <f t="shared" si="0"/>
        <v>1</v>
      </c>
      <c r="E31" s="47">
        <f t="shared" si="0"/>
        <v>1</v>
      </c>
      <c r="F31" s="47">
        <f t="shared" si="0"/>
        <v>1</v>
      </c>
      <c r="G31" s="47">
        <f t="shared" si="0"/>
        <v>1</v>
      </c>
      <c r="H31" s="47">
        <f t="shared" si="0"/>
        <v>1</v>
      </c>
      <c r="I31" s="47">
        <f t="shared" si="0"/>
        <v>1</v>
      </c>
      <c r="J31" s="47">
        <f t="shared" si="0"/>
        <v>1</v>
      </c>
      <c r="K31" s="47">
        <f t="shared" si="0"/>
        <v>1</v>
      </c>
      <c r="L31" s="47">
        <f t="shared" si="0"/>
        <v>1</v>
      </c>
      <c r="M31" s="47">
        <f t="shared" si="0"/>
        <v>1</v>
      </c>
      <c r="N31" s="47">
        <f t="shared" si="0"/>
        <v>1</v>
      </c>
      <c r="Q31" s="13" t="s">
        <v>76</v>
      </c>
      <c r="R31" s="48">
        <f>試算シート!M5</f>
        <v>29346</v>
      </c>
      <c r="W31" s="12"/>
      <c r="HZ31"/>
    </row>
    <row r="32" spans="1:234">
      <c r="Q32" s="13" t="s">
        <v>77</v>
      </c>
      <c r="R32" s="48">
        <f>IF(試算シート!Q6="",試算シート!M6,試算シート!Q6)</f>
        <v>45747</v>
      </c>
      <c r="W32" s="12"/>
      <c r="HZ32"/>
    </row>
    <row r="33" spans="2:234">
      <c r="Q33" s="13" t="s">
        <v>78</v>
      </c>
      <c r="R33" s="48">
        <f>R32+1</f>
        <v>45748</v>
      </c>
      <c r="W33" s="12"/>
      <c r="HZ33"/>
    </row>
    <row r="34" spans="2:234">
      <c r="Q34" s="13" t="s">
        <v>79</v>
      </c>
      <c r="R34" s="12">
        <f>MONTH(R33)</f>
        <v>4</v>
      </c>
      <c r="W34" s="12"/>
      <c r="HZ34"/>
    </row>
    <row r="35" spans="2:234">
      <c r="Q35" s="13" t="s">
        <v>92</v>
      </c>
      <c r="R35" s="13" t="str">
        <f>IF(OR(R34=1,R34=2,R34=3),"y","n")</f>
        <v>n</v>
      </c>
      <c r="W35" s="12"/>
      <c r="HZ35"/>
    </row>
    <row r="36" spans="2:234">
      <c r="B36" s="224" t="s">
        <v>50</v>
      </c>
      <c r="C36" s="224"/>
      <c r="D36" s="3" t="s">
        <v>47</v>
      </c>
      <c r="E36" s="3" t="s">
        <v>48</v>
      </c>
      <c r="Q36" s="13" t="s">
        <v>83</v>
      </c>
      <c r="R36" s="48">
        <f>(YEAR(R33)&amp;"/9/30")*1</f>
        <v>45930</v>
      </c>
      <c r="W36" s="12"/>
      <c r="HZ36"/>
    </row>
    <row r="37" spans="2:234">
      <c r="B37" s="3">
        <v>1</v>
      </c>
      <c r="C37" s="3" t="s">
        <v>8</v>
      </c>
      <c r="D37" s="3">
        <v>2</v>
      </c>
      <c r="E37" s="3">
        <v>2</v>
      </c>
      <c r="F37" s="12">
        <f>COUNTIF(B31:C31,1)</f>
        <v>2</v>
      </c>
      <c r="G37" s="12">
        <f>COUNTIF(B31:C31,1)</f>
        <v>2</v>
      </c>
      <c r="I37" s="12">
        <v>2</v>
      </c>
      <c r="J37" s="12">
        <v>2</v>
      </c>
      <c r="Q37" s="13" t="s">
        <v>82</v>
      </c>
      <c r="R37" s="13" t="str">
        <f>IF(OR(R34=4,R34=5,R34=6,R34=7,R34=8,R34=9),"y","n")</f>
        <v>y</v>
      </c>
      <c r="W37" s="12"/>
      <c r="HZ37"/>
    </row>
    <row r="38" spans="2:234">
      <c r="B38" s="3">
        <v>2</v>
      </c>
      <c r="C38" s="3" t="s">
        <v>8</v>
      </c>
      <c r="D38" s="3">
        <v>0</v>
      </c>
      <c r="E38" s="3">
        <v>0</v>
      </c>
      <c r="F38" s="12">
        <v>0</v>
      </c>
      <c r="G38" s="12">
        <v>0</v>
      </c>
      <c r="I38" s="12">
        <v>0</v>
      </c>
      <c r="J38" s="12">
        <v>0</v>
      </c>
      <c r="Q38" s="13" t="s">
        <v>80</v>
      </c>
      <c r="R38" s="12">
        <f>IF(R35="y",4-R34,IF(R37="y",10-R34,16-R34))</f>
        <v>6</v>
      </c>
      <c r="U38" s="13" t="s">
        <v>90</v>
      </c>
      <c r="V38" s="12">
        <f>VLOOKUP(R34,Q47:S58,3,0)</f>
        <v>6</v>
      </c>
      <c r="W38" s="12"/>
      <c r="HZ38"/>
    </row>
    <row r="39" spans="2:234">
      <c r="B39" s="3">
        <v>3</v>
      </c>
      <c r="C39" s="3" t="s">
        <v>49</v>
      </c>
      <c r="D39" s="3">
        <v>6</v>
      </c>
      <c r="E39" s="3">
        <v>12</v>
      </c>
      <c r="F39" s="12">
        <f>COUNTIF(B31:G31,1)</f>
        <v>6</v>
      </c>
      <c r="G39" s="12">
        <f>COUNTIF(B31:M31,1)</f>
        <v>12</v>
      </c>
      <c r="I39" s="12">
        <v>6</v>
      </c>
      <c r="J39" s="12">
        <v>11</v>
      </c>
      <c r="O39" s="49"/>
      <c r="Q39" s="13" t="s">
        <v>81</v>
      </c>
      <c r="R39" s="12">
        <f>IF(R35="y",4-R34,16-R34)</f>
        <v>12</v>
      </c>
      <c r="U39" s="13" t="s">
        <v>91</v>
      </c>
      <c r="V39" s="12">
        <f>VLOOKUP(R34,Q47:V58,6,0)</f>
        <v>12</v>
      </c>
      <c r="W39" s="12"/>
      <c r="HZ39"/>
    </row>
    <row r="40" spans="2:234">
      <c r="B40" s="3">
        <v>4</v>
      </c>
      <c r="C40" s="3" t="s">
        <v>8</v>
      </c>
      <c r="D40" s="3">
        <v>5</v>
      </c>
      <c r="E40" s="3">
        <v>11</v>
      </c>
      <c r="F40" s="12">
        <f>COUNTIF(B31:F31,1)</f>
        <v>5</v>
      </c>
      <c r="G40" s="12">
        <f>COUNTIF(B31:L31,1)</f>
        <v>11</v>
      </c>
      <c r="I40" s="12">
        <v>5</v>
      </c>
      <c r="J40" s="12">
        <v>11</v>
      </c>
      <c r="Q40" s="13"/>
      <c r="W40" s="12"/>
      <c r="HZ40"/>
    </row>
    <row r="41" spans="2:234">
      <c r="B41" s="3">
        <v>5</v>
      </c>
      <c r="C41" s="3" t="s">
        <v>8</v>
      </c>
      <c r="D41" s="3">
        <v>4</v>
      </c>
      <c r="E41" s="3">
        <v>10</v>
      </c>
      <c r="F41" s="12">
        <f>COUNTIF(B31:E31,1)</f>
        <v>4</v>
      </c>
      <c r="G41" s="12">
        <f>COUNTIF(B31:K31,1)</f>
        <v>10</v>
      </c>
      <c r="I41" s="12">
        <v>4</v>
      </c>
      <c r="J41" s="12">
        <v>10</v>
      </c>
      <c r="Q41" s="13"/>
      <c r="W41" s="12"/>
      <c r="HZ41"/>
    </row>
    <row r="42" spans="2:234">
      <c r="B42" s="3">
        <v>6</v>
      </c>
      <c r="C42" s="3" t="s">
        <v>8</v>
      </c>
      <c r="D42" s="3">
        <v>3</v>
      </c>
      <c r="E42" s="3">
        <v>9</v>
      </c>
      <c r="F42" s="12">
        <f>COUNTIF(B31:D31,1)</f>
        <v>3</v>
      </c>
      <c r="G42" s="12">
        <f>COUNTIF(B31:J31,1)</f>
        <v>9</v>
      </c>
      <c r="I42" s="12">
        <v>3</v>
      </c>
      <c r="J42" s="12">
        <v>9</v>
      </c>
      <c r="Q42" s="13" t="s">
        <v>84</v>
      </c>
      <c r="R42" s="48">
        <f>IF(R35="n",(YEAR(R33)&amp;"/4/30")*1,EOMONTH((YEAR(R33)&amp;"/4/30")*1,-12))</f>
        <v>45777</v>
      </c>
      <c r="S42" s="48">
        <f t="shared" ref="S42:AC42" si="1">EOMONTH(R42,1)</f>
        <v>45808</v>
      </c>
      <c r="T42" s="48">
        <f t="shared" si="1"/>
        <v>45838</v>
      </c>
      <c r="U42" s="48">
        <f t="shared" si="1"/>
        <v>45869</v>
      </c>
      <c r="V42" s="48">
        <f t="shared" si="1"/>
        <v>45900</v>
      </c>
      <c r="W42" s="48">
        <f t="shared" si="1"/>
        <v>45930</v>
      </c>
      <c r="X42" s="48">
        <f t="shared" si="1"/>
        <v>45961</v>
      </c>
      <c r="Y42" s="48">
        <f t="shared" si="1"/>
        <v>45991</v>
      </c>
      <c r="Z42" s="48">
        <f t="shared" si="1"/>
        <v>46022</v>
      </c>
      <c r="AA42" s="48">
        <f t="shared" si="1"/>
        <v>46053</v>
      </c>
      <c r="AB42" s="48">
        <f t="shared" si="1"/>
        <v>46081</v>
      </c>
      <c r="AC42" s="48">
        <f t="shared" si="1"/>
        <v>46112</v>
      </c>
      <c r="HZ42"/>
    </row>
    <row r="43" spans="2:234">
      <c r="B43" s="3">
        <v>7</v>
      </c>
      <c r="C43" s="3" t="s">
        <v>8</v>
      </c>
      <c r="D43" s="3">
        <v>2</v>
      </c>
      <c r="E43" s="3">
        <v>8</v>
      </c>
      <c r="F43" s="12">
        <f>COUNTIF(B31:C31,1)</f>
        <v>2</v>
      </c>
      <c r="G43" s="12">
        <f>COUNTIF(B31:I31,1)</f>
        <v>8</v>
      </c>
      <c r="I43" s="12">
        <v>2</v>
      </c>
      <c r="J43" s="12">
        <v>8</v>
      </c>
      <c r="Q43" s="13" t="s">
        <v>85</v>
      </c>
      <c r="R43" s="12">
        <f t="shared" ref="R43:AC43" si="2">DATEDIF($R$31,R42+1,"Y")</f>
        <v>44</v>
      </c>
      <c r="S43" s="12">
        <f t="shared" si="2"/>
        <v>45</v>
      </c>
      <c r="T43" s="12">
        <f t="shared" si="2"/>
        <v>45</v>
      </c>
      <c r="U43" s="12">
        <f t="shared" si="2"/>
        <v>45</v>
      </c>
      <c r="V43" s="12">
        <f t="shared" si="2"/>
        <v>45</v>
      </c>
      <c r="W43" s="12">
        <f t="shared" si="2"/>
        <v>45</v>
      </c>
      <c r="X43" s="12">
        <f t="shared" si="2"/>
        <v>45</v>
      </c>
      <c r="Y43" s="12">
        <f t="shared" si="2"/>
        <v>45</v>
      </c>
      <c r="Z43" s="12">
        <f t="shared" si="2"/>
        <v>45</v>
      </c>
      <c r="AA43" s="12">
        <f t="shared" si="2"/>
        <v>45</v>
      </c>
      <c r="AB43" s="12">
        <f t="shared" si="2"/>
        <v>45</v>
      </c>
      <c r="AC43" s="12">
        <f t="shared" si="2"/>
        <v>45</v>
      </c>
      <c r="HZ43"/>
    </row>
    <row r="44" spans="2:234">
      <c r="B44" s="3">
        <v>8</v>
      </c>
      <c r="C44" s="3" t="s">
        <v>8</v>
      </c>
      <c r="D44" s="3">
        <v>0</v>
      </c>
      <c r="E44" s="3">
        <v>7</v>
      </c>
      <c r="F44" s="12">
        <v>0</v>
      </c>
      <c r="G44" s="12">
        <f>COUNTIF(B31:H31,1)</f>
        <v>7</v>
      </c>
      <c r="I44" s="12">
        <v>0</v>
      </c>
      <c r="J44" s="12">
        <v>7</v>
      </c>
      <c r="Q44" s="13" t="s">
        <v>86</v>
      </c>
      <c r="R44" s="13" t="str">
        <f t="shared" ref="R44:AC44" si="3">IF(AND(R43&gt;=40,R43&lt;65),"y","n")</f>
        <v>y</v>
      </c>
      <c r="S44" s="13" t="str">
        <f t="shared" si="3"/>
        <v>y</v>
      </c>
      <c r="T44" s="13" t="str">
        <f t="shared" si="3"/>
        <v>y</v>
      </c>
      <c r="U44" s="13" t="str">
        <f t="shared" si="3"/>
        <v>y</v>
      </c>
      <c r="V44" s="13" t="str">
        <f t="shared" si="3"/>
        <v>y</v>
      </c>
      <c r="W44" s="13" t="str">
        <f t="shared" si="3"/>
        <v>y</v>
      </c>
      <c r="X44" s="13" t="str">
        <f t="shared" si="3"/>
        <v>y</v>
      </c>
      <c r="Y44" s="13" t="str">
        <f t="shared" si="3"/>
        <v>y</v>
      </c>
      <c r="Z44" s="13" t="str">
        <f t="shared" si="3"/>
        <v>y</v>
      </c>
      <c r="AA44" s="13" t="str">
        <f t="shared" si="3"/>
        <v>y</v>
      </c>
      <c r="AB44" s="13" t="str">
        <f t="shared" si="3"/>
        <v>y</v>
      </c>
      <c r="AC44" s="13" t="str">
        <f t="shared" si="3"/>
        <v>y</v>
      </c>
      <c r="HZ44"/>
    </row>
    <row r="45" spans="2:234">
      <c r="B45" s="3">
        <v>9</v>
      </c>
      <c r="C45" s="3" t="s">
        <v>8</v>
      </c>
      <c r="D45" s="3">
        <v>6</v>
      </c>
      <c r="E45" s="3">
        <v>6</v>
      </c>
      <c r="F45" s="12">
        <f>COUNTIF(B31:G31,1)</f>
        <v>6</v>
      </c>
      <c r="G45" s="12">
        <f>COUNTIF(B31:G31,1)</f>
        <v>6</v>
      </c>
      <c r="I45" s="12">
        <v>6</v>
      </c>
      <c r="J45" s="12">
        <v>6</v>
      </c>
      <c r="Q45" s="13"/>
      <c r="W45" s="12"/>
      <c r="HZ45"/>
    </row>
    <row r="46" spans="2:234">
      <c r="B46" s="3">
        <v>10</v>
      </c>
      <c r="C46" s="3" t="s">
        <v>8</v>
      </c>
      <c r="D46" s="3">
        <v>5</v>
      </c>
      <c r="E46" s="3">
        <v>5</v>
      </c>
      <c r="F46" s="12">
        <f>COUNTIF(B31:F31,1)</f>
        <v>5</v>
      </c>
      <c r="G46" s="12">
        <f>COUNTIF(B31:F31,1)</f>
        <v>5</v>
      </c>
      <c r="I46" s="12">
        <v>5</v>
      </c>
      <c r="J46" s="12">
        <v>5</v>
      </c>
      <c r="Q46" s="13" t="s">
        <v>87</v>
      </c>
      <c r="S46" s="12" t="s">
        <v>88</v>
      </c>
      <c r="V46" s="12" t="s">
        <v>89</v>
      </c>
      <c r="W46" s="12"/>
      <c r="HZ46"/>
    </row>
    <row r="47" spans="2:234">
      <c r="B47" s="3">
        <v>11</v>
      </c>
      <c r="C47" s="3" t="s">
        <v>9</v>
      </c>
      <c r="D47" s="3">
        <v>4</v>
      </c>
      <c r="E47" s="3">
        <v>4</v>
      </c>
      <c r="F47" s="12">
        <f>COUNTIF(B31:E31,1)</f>
        <v>4</v>
      </c>
      <c r="G47" s="12">
        <f>COUNTIF(B31:E31,1)</f>
        <v>4</v>
      </c>
      <c r="I47" s="12">
        <v>4</v>
      </c>
      <c r="J47" s="12">
        <v>4</v>
      </c>
      <c r="Q47" s="13">
        <v>4</v>
      </c>
      <c r="S47" s="12">
        <f>COUNTIF(R44:W44,"y")</f>
        <v>6</v>
      </c>
      <c r="V47" s="12">
        <f>COUNTIF(R44:AC44,"y")</f>
        <v>12</v>
      </c>
      <c r="W47" s="12"/>
      <c r="HZ47"/>
    </row>
    <row r="48" spans="2:234">
      <c r="B48" s="3">
        <v>12</v>
      </c>
      <c r="C48" s="3" t="s">
        <v>49</v>
      </c>
      <c r="D48" s="3">
        <v>3</v>
      </c>
      <c r="E48" s="3">
        <v>3</v>
      </c>
      <c r="F48" s="12">
        <f>COUNTIF(B31:D31,1)</f>
        <v>3</v>
      </c>
      <c r="G48" s="12">
        <f>COUNTIF(B31:D31,1)</f>
        <v>3</v>
      </c>
      <c r="I48" s="12">
        <v>3</v>
      </c>
      <c r="J48" s="12">
        <v>3</v>
      </c>
      <c r="Q48" s="13">
        <v>5</v>
      </c>
      <c r="S48" s="12">
        <f>COUNTIF(S44:W44,"y")</f>
        <v>5</v>
      </c>
      <c r="V48" s="12">
        <f>COUNTIF(S44:AC44,"y")</f>
        <v>11</v>
      </c>
      <c r="W48" s="12"/>
      <c r="HZ48"/>
    </row>
    <row r="49" spans="17:234">
      <c r="Q49" s="13">
        <v>6</v>
      </c>
      <c r="S49" s="12">
        <f>COUNTIF(T44:W44,"y")</f>
        <v>4</v>
      </c>
      <c r="V49" s="12">
        <f>COUNTIF(T44:AC44,"y")</f>
        <v>10</v>
      </c>
      <c r="W49" s="12"/>
      <c r="HZ49"/>
    </row>
    <row r="50" spans="17:234">
      <c r="Q50" s="13">
        <v>7</v>
      </c>
      <c r="S50" s="12">
        <f>COUNTIF(U44:W44,"y")</f>
        <v>3</v>
      </c>
      <c r="V50" s="12">
        <f>COUNTIF(U44:AC44,"y")</f>
        <v>9</v>
      </c>
      <c r="W50" s="12"/>
      <c r="HZ50"/>
    </row>
    <row r="51" spans="17:234">
      <c r="Q51" s="13">
        <v>8</v>
      </c>
      <c r="S51" s="12">
        <f>COUNTIF(V44:W44,"y")</f>
        <v>2</v>
      </c>
      <c r="V51" s="12">
        <f>COUNTIF(V44:AC44,"y")</f>
        <v>8</v>
      </c>
      <c r="W51" s="12"/>
      <c r="HZ51"/>
    </row>
    <row r="52" spans="17:234">
      <c r="Q52" s="13">
        <v>9</v>
      </c>
      <c r="S52" s="12">
        <f>COUNTIF(W44,"y")</f>
        <v>1</v>
      </c>
      <c r="V52" s="12">
        <f>COUNTIF(W44:AC44,"y")</f>
        <v>7</v>
      </c>
      <c r="W52" s="12"/>
      <c r="HZ52"/>
    </row>
    <row r="53" spans="17:234">
      <c r="Q53" s="13">
        <v>10</v>
      </c>
      <c r="S53" s="12">
        <f>COUNTIF(X44:AC44,"y")</f>
        <v>6</v>
      </c>
      <c r="V53" s="12">
        <f>COUNTIF(X44:AC44,"y")</f>
        <v>6</v>
      </c>
      <c r="W53" s="12"/>
      <c r="HZ53"/>
    </row>
    <row r="54" spans="17:234">
      <c r="Q54" s="13">
        <v>11</v>
      </c>
      <c r="S54" s="12">
        <f>COUNTIF(Y44:AC44,"y")</f>
        <v>5</v>
      </c>
      <c r="V54" s="12">
        <f>COUNTIF(Y44:AC44,"y")</f>
        <v>5</v>
      </c>
      <c r="W54" s="12"/>
      <c r="HZ54"/>
    </row>
    <row r="55" spans="17:234">
      <c r="Q55" s="12">
        <v>12</v>
      </c>
      <c r="S55" s="12">
        <f>COUNTIF(Z44:AC44,"y")</f>
        <v>4</v>
      </c>
      <c r="V55" s="13">
        <f>COUNTIF(Z44:AC44,"y")</f>
        <v>4</v>
      </c>
      <c r="W55" s="12"/>
      <c r="HZ55"/>
    </row>
    <row r="56" spans="17:234">
      <c r="Q56" s="12">
        <v>1</v>
      </c>
      <c r="S56" s="12">
        <f>COUNTIF(AA44:AC44,"y")</f>
        <v>3</v>
      </c>
      <c r="V56" s="13">
        <f>COUNTIF(AA44:AC44,"y")</f>
        <v>3</v>
      </c>
      <c r="W56" s="12"/>
      <c r="HZ56"/>
    </row>
    <row r="57" spans="17:234">
      <c r="Q57" s="12">
        <v>2</v>
      </c>
      <c r="S57" s="12">
        <f>COUNTIF(AB44:AC44,"y")</f>
        <v>2</v>
      </c>
      <c r="V57" s="13">
        <f>COUNTIF(AB44:AC44,"y")</f>
        <v>2</v>
      </c>
      <c r="W57" s="12"/>
      <c r="HZ57"/>
    </row>
    <row r="58" spans="17:234">
      <c r="Q58" s="12">
        <v>3</v>
      </c>
      <c r="S58" s="12">
        <f>COUNTIF(AC44,"y")</f>
        <v>1</v>
      </c>
      <c r="V58" s="13">
        <f>COUNTIF(AC44,"y")</f>
        <v>1</v>
      </c>
      <c r="W58" s="12"/>
      <c r="HZ58"/>
    </row>
    <row r="59" spans="17:234">
      <c r="V59" s="13"/>
      <c r="W59" s="12"/>
      <c r="HZ59"/>
    </row>
    <row r="60" spans="17:234">
      <c r="V60" s="13"/>
      <c r="W60" s="12"/>
      <c r="HZ60"/>
    </row>
    <row r="61" spans="17:234">
      <c r="V61" s="13"/>
      <c r="W61" s="12"/>
      <c r="HZ61"/>
    </row>
    <row r="62" spans="17:234">
      <c r="V62" s="13"/>
      <c r="W62" s="12"/>
      <c r="HZ62"/>
    </row>
    <row r="63" spans="17:234">
      <c r="V63" s="13"/>
      <c r="W63" s="12"/>
      <c r="HZ63"/>
    </row>
    <row r="64" spans="17:234">
      <c r="V64" s="13"/>
      <c r="W64" s="12"/>
      <c r="HZ64"/>
    </row>
    <row r="65" spans="22:234">
      <c r="V65" s="13"/>
      <c r="W65" s="12"/>
      <c r="HZ65"/>
    </row>
    <row r="66" spans="22:234">
      <c r="V66" s="13"/>
      <c r="W66" s="12"/>
      <c r="HZ66"/>
    </row>
    <row r="67" spans="22:234">
      <c r="V67" s="13"/>
      <c r="W67" s="12"/>
      <c r="HZ67"/>
    </row>
    <row r="68" spans="22:234">
      <c r="V68" s="13"/>
      <c r="W68" s="12"/>
      <c r="HZ68"/>
    </row>
    <row r="69" spans="22:234">
      <c r="V69" s="13"/>
      <c r="W69" s="12"/>
      <c r="HZ69"/>
    </row>
    <row r="70" spans="22:234">
      <c r="V70" s="13"/>
      <c r="W70" s="12"/>
      <c r="HZ70"/>
    </row>
    <row r="71" spans="22:234">
      <c r="V71" s="13"/>
      <c r="W71" s="12"/>
      <c r="HZ71"/>
    </row>
    <row r="72" spans="22:234">
      <c r="V72" s="13"/>
      <c r="W72" s="12"/>
      <c r="HZ72"/>
    </row>
    <row r="73" spans="22:234">
      <c r="V73" s="13"/>
      <c r="W73" s="12"/>
      <c r="HZ73"/>
    </row>
    <row r="74" spans="22:234">
      <c r="V74" s="13"/>
      <c r="W74" s="12"/>
      <c r="HZ74"/>
    </row>
    <row r="75" spans="22:234">
      <c r="V75" s="13"/>
      <c r="W75" s="12"/>
      <c r="HZ75"/>
    </row>
    <row r="76" spans="22:234">
      <c r="V76" s="13"/>
      <c r="W76" s="12"/>
      <c r="HZ76"/>
    </row>
    <row r="77" spans="22:234">
      <c r="V77" s="13"/>
      <c r="W77" s="12"/>
      <c r="HZ77"/>
    </row>
    <row r="78" spans="22:234">
      <c r="V78" s="13"/>
      <c r="W78" s="12"/>
      <c r="HZ78"/>
    </row>
    <row r="79" spans="22:234">
      <c r="V79" s="13"/>
      <c r="W79" s="12"/>
      <c r="HZ79"/>
    </row>
    <row r="80" spans="22:234">
      <c r="V80" s="13"/>
      <c r="W80" s="12"/>
      <c r="HZ80"/>
    </row>
    <row r="81" spans="22:234">
      <c r="V81" s="13"/>
      <c r="W81" s="12"/>
      <c r="HZ81"/>
    </row>
    <row r="82" spans="22:234">
      <c r="V82" s="13"/>
      <c r="W82" s="12"/>
      <c r="HZ82"/>
    </row>
    <row r="83" spans="22:234">
      <c r="V83" s="13"/>
      <c r="W83" s="12"/>
      <c r="HZ83"/>
    </row>
    <row r="84" spans="22:234">
      <c r="V84" s="13"/>
      <c r="W84" s="12"/>
      <c r="HZ84"/>
    </row>
    <row r="85" spans="22:234">
      <c r="V85" s="13"/>
      <c r="W85" s="12"/>
      <c r="HZ85"/>
    </row>
    <row r="86" spans="22:234">
      <c r="V86" s="13"/>
      <c r="W86" s="12"/>
      <c r="HZ86"/>
    </row>
    <row r="87" spans="22:234">
      <c r="V87" s="13"/>
      <c r="W87" s="12"/>
      <c r="HZ87"/>
    </row>
    <row r="88" spans="22:234">
      <c r="V88" s="13"/>
      <c r="W88" s="12"/>
      <c r="HZ88"/>
    </row>
    <row r="89" spans="22:234">
      <c r="V89" s="13"/>
      <c r="W89" s="12"/>
      <c r="HZ89"/>
    </row>
    <row r="90" spans="22:234">
      <c r="V90" s="13"/>
      <c r="W90" s="12"/>
      <c r="HZ90"/>
    </row>
    <row r="91" spans="22:234">
      <c r="V91" s="13"/>
      <c r="W91" s="12"/>
      <c r="HZ91"/>
    </row>
    <row r="92" spans="22:234">
      <c r="V92" s="13"/>
      <c r="W92" s="12"/>
      <c r="HZ92"/>
    </row>
    <row r="93" spans="22:234">
      <c r="V93" s="13"/>
      <c r="W93" s="12"/>
      <c r="HZ93"/>
    </row>
    <row r="94" spans="22:234">
      <c r="V94" s="13"/>
      <c r="W94" s="12"/>
      <c r="HZ94"/>
    </row>
    <row r="95" spans="22:234">
      <c r="V95" s="13"/>
      <c r="W95" s="12"/>
      <c r="HZ95"/>
    </row>
    <row r="96" spans="22:234">
      <c r="V96" s="13"/>
      <c r="W96" s="12"/>
      <c r="HZ96"/>
    </row>
    <row r="97" spans="22:234">
      <c r="V97" s="13"/>
      <c r="W97" s="12"/>
      <c r="HZ97"/>
    </row>
    <row r="98" spans="22:234">
      <c r="V98" s="13"/>
      <c r="W98" s="12"/>
      <c r="HZ98"/>
    </row>
    <row r="99" spans="22:234">
      <c r="V99" s="13"/>
      <c r="W99" s="12"/>
      <c r="HZ99"/>
    </row>
    <row r="100" spans="22:234">
      <c r="V100" s="13"/>
      <c r="W100" s="12"/>
      <c r="HZ100"/>
    </row>
    <row r="101" spans="22:234">
      <c r="V101" s="13"/>
      <c r="W101" s="12"/>
      <c r="HZ101"/>
    </row>
    <row r="102" spans="22:234">
      <c r="V102" s="13"/>
      <c r="W102" s="12"/>
      <c r="HZ102"/>
    </row>
    <row r="103" spans="22:234">
      <c r="V103" s="13"/>
      <c r="W103" s="12"/>
      <c r="HZ103"/>
    </row>
    <row r="104" spans="22:234">
      <c r="V104" s="13"/>
      <c r="W104" s="12"/>
      <c r="HZ104"/>
    </row>
    <row r="105" spans="22:234">
      <c r="V105" s="13"/>
      <c r="W105" s="12"/>
      <c r="HZ105"/>
    </row>
    <row r="106" spans="22:234">
      <c r="V106" s="13"/>
      <c r="W106" s="12"/>
      <c r="HZ106"/>
    </row>
    <row r="107" spans="22:234">
      <c r="V107" s="13"/>
      <c r="W107" s="12"/>
      <c r="HZ107"/>
    </row>
    <row r="108" spans="22:234">
      <c r="V108" s="13"/>
      <c r="W108" s="12"/>
      <c r="HZ108"/>
    </row>
    <row r="109" spans="22:234">
      <c r="V109" s="13"/>
      <c r="W109" s="12"/>
      <c r="HZ109"/>
    </row>
    <row r="110" spans="22:234">
      <c r="V110" s="13"/>
      <c r="W110" s="12"/>
      <c r="HZ110"/>
    </row>
    <row r="111" spans="22:234">
      <c r="V111" s="13"/>
      <c r="W111" s="12"/>
      <c r="HZ111"/>
    </row>
    <row r="112" spans="22:234">
      <c r="V112" s="13"/>
      <c r="W112" s="12"/>
      <c r="HZ112"/>
    </row>
    <row r="113" spans="22:234">
      <c r="V113" s="13"/>
      <c r="W113" s="12"/>
      <c r="HZ113"/>
    </row>
    <row r="114" spans="22:234">
      <c r="V114" s="13"/>
      <c r="W114" s="12"/>
      <c r="HZ114"/>
    </row>
  </sheetData>
  <mergeCells count="4">
    <mergeCell ref="B36:C36"/>
    <mergeCell ref="A3:B3"/>
    <mergeCell ref="O29:Q29"/>
    <mergeCell ref="R29:U2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試算シート</vt:lpstr>
      <vt:lpstr>標準報酬月額340000円以上の方の掛金額上限</vt:lpstr>
      <vt:lpstr>【更新要】掛金早見表</vt:lpstr>
      <vt:lpstr>部内用</vt:lpstr>
      <vt:lpstr>【更新不要】試算基</vt:lpstr>
      <vt:lpstr>試算シート!Print_Area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2025-03-07T11:22:39Z</cp:lastPrinted>
  <dcterms:created xsi:type="dcterms:W3CDTF">2006-03-01T07:15:05Z</dcterms:created>
  <dcterms:modified xsi:type="dcterms:W3CDTF">2025-03-10T02:52:03Z</dcterms:modified>
</cp:coreProperties>
</file>